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509"/>
  </bookViews>
  <sheets>
    <sheet name="鲁山县2024年衔接资金项目台账明细表" sheetId="2" r:id="rId1"/>
  </sheets>
  <externalReferences>
    <externalReference r:id="rId2"/>
    <externalReference r:id="rId3"/>
  </externalReferences>
  <definedNames>
    <definedName name="_xlnm._FilterDatabase" localSheetId="0" hidden="1">鲁山县2024年衔接资金项目台账明细表!$A$4:$XEJ$249</definedName>
    <definedName name="_xlnm.Print_Titles" localSheetId="0">鲁山县2024年衔接资金项目台账明细表!$2:3</definedName>
    <definedName name="中央资金">#REF!</definedName>
    <definedName name="省级资金">#REF!</definedName>
    <definedName name="市级资金">#REF!</definedName>
    <definedName name="县级资金">#REF!</definedName>
    <definedName name="农村人居环境公共设施整治">#REF!</definedName>
    <definedName name="农村基础公共服务设施建设">#REF!</definedName>
    <definedName name="农业产业发展">#REF!</definedName>
    <definedName name="农村基础设施">#REF!</definedName>
    <definedName name="农村基础设施建设">[2]Sheet2!$C$4:$C$10</definedName>
    <definedName name="农业生产发展">[2]Sheet2!$B$4:$B$20</definedName>
    <definedName name="项目分类">'[1]2-扶贫项目实施情况表'!$V$3:$V$106</definedName>
    <definedName name="项目类别">[2]Sheet2!$B$3:$E$19</definedName>
    <definedName name="_xlnm.Print_Area" localSheetId="0">鲁山县2024年衔接资金项目台账明细表!$A$1:$U$249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<sst xmlns="http://schemas.openxmlformats.org/spreadsheetml/2006/main" count="3159" uniqueCount="912">
  <si>
    <t>附件二</t>
  </si>
  <si>
    <t>鲁山县财政衔接推进乡村振兴补助资金分配台账</t>
  </si>
  <si>
    <t>序号</t>
  </si>
  <si>
    <t>项目批次</t>
  </si>
  <si>
    <t>项目名称</t>
  </si>
  <si>
    <t>项目性质</t>
  </si>
  <si>
    <t>项目类别</t>
  </si>
  <si>
    <t>项目实施单位</t>
  </si>
  <si>
    <t>项目牵头单位</t>
  </si>
  <si>
    <t>建设地点</t>
  </si>
  <si>
    <t>主要建设内容</t>
  </si>
  <si>
    <t>资金级次</t>
  </si>
  <si>
    <t>资金来源</t>
  </si>
  <si>
    <t>资金类别</t>
  </si>
  <si>
    <t>投资规模</t>
  </si>
  <si>
    <t>支出</t>
  </si>
  <si>
    <t>效益情况</t>
  </si>
  <si>
    <t>绩效目标</t>
  </si>
  <si>
    <t>中央衔接</t>
  </si>
  <si>
    <t>省级衔接</t>
  </si>
  <si>
    <t>市级衔接</t>
  </si>
  <si>
    <t>县级衔接</t>
  </si>
  <si>
    <t>总计</t>
  </si>
  <si>
    <t>覆盖户数</t>
  </si>
  <si>
    <t>覆盖人口</t>
  </si>
  <si>
    <t>合计</t>
  </si>
  <si>
    <t>第一批</t>
  </si>
  <si>
    <t>鲁山县2024年雨露计划短期技能培训补贴</t>
  </si>
  <si>
    <t>其他</t>
  </si>
  <si>
    <t>“雨露计划”培训</t>
  </si>
  <si>
    <t>县乡村振兴局</t>
  </si>
  <si>
    <t>鲁山县</t>
  </si>
  <si>
    <t>A类工种每人2000元；B类工种每人1800元；C类工种每人1500元。</t>
  </si>
  <si>
    <t>中央资金</t>
  </si>
  <si>
    <t>豫财农综〔2023〕31号</t>
  </si>
  <si>
    <t>中央财政衔接乡村振兴补助资金</t>
  </si>
  <si>
    <t>560人</t>
  </si>
  <si>
    <t>按照既定目标完成建设任务，项目建成后移交村集体管护，改善群众生产生活条件，群众满意度97%以上。</t>
  </si>
  <si>
    <t>赵村镇三道庵村黄楝沟滑坡地质灾害搬迁点基础设施配套项目</t>
  </si>
  <si>
    <t>农村基础设施</t>
  </si>
  <si>
    <t>农村水利设施</t>
  </si>
  <si>
    <t>赵村镇</t>
  </si>
  <si>
    <t>三道庵村</t>
  </si>
  <si>
    <t>9米高浆砌石挡墙56米，4.5米高浆砌石挡墙39米，3.6米高浆砌石挡墙178米；120mm厚C25砼道路，宽2.5米，长度134米；180mm厚C25砼道路，宽3.5米，长度346米；180mm厚C25砼道路，宽4米，长度97米；30T无塔1座及配套官网，300米机井1座；100立方砖砌化粪池1座，铺设波纹管187米，雨水口6座，污水井6座，检查井6座，钢架车子棚1座</t>
  </si>
  <si>
    <t>142户（脱贫户36户）</t>
  </si>
  <si>
    <t>566人（脱贫人口93人）</t>
  </si>
  <si>
    <t>库区乡桐树庄村鹌鹑养殖配套设施建设项目</t>
  </si>
  <si>
    <t>农业产业发展</t>
  </si>
  <si>
    <t>养殖业（畜牧生产-含配套基础设施）</t>
  </si>
  <si>
    <t>库区乡</t>
  </si>
  <si>
    <t>桐树庄村</t>
  </si>
  <si>
    <t>1、新建机井一眼320米及相关配套设施。2、新建浆砌石挡墙总长105米。3、新建4米宽C25混凝土道路长498.5米，厚0.2米。4、新建C25混凝土地坪共1820.4平方。5、新建路边沟长593米，新建排水渠长230米。6、新建混凝土涵管长16米。7、新建钢芯铝线长2960米，线杆9根及相关配套设施。</t>
  </si>
  <si>
    <t>省级资金</t>
  </si>
  <si>
    <t>豫财农综〔2023〕36号</t>
  </si>
  <si>
    <t>省级财政衔接推进乡村振兴补助资金</t>
  </si>
  <si>
    <t>174户（脱贫户37户）</t>
  </si>
  <si>
    <t>756人（脱贫人口126人）</t>
  </si>
  <si>
    <t>项目使用方按照不低于投资额的10%落实带贫绩效用以壮大村集体经济，促进当地经济发展，带领脱贫户致富</t>
  </si>
  <si>
    <t>四棵树乡平沟村杜鹃岭至柴沟村道路项目</t>
  </si>
  <si>
    <t>农村道路</t>
  </si>
  <si>
    <t>四棵树乡</t>
  </si>
  <si>
    <t>平沟村</t>
  </si>
  <si>
    <t>新建c25混凝土道路长3700米，宽4.5米，厚0.2米</t>
  </si>
  <si>
    <t>153（脱贫户60户）</t>
  </si>
  <si>
    <t>523人（脱贫人口197人）</t>
  </si>
  <si>
    <t>鲁山县尧山镇营盘沟旅游配套设施建设项目</t>
  </si>
  <si>
    <t>乡村旅游产业</t>
  </si>
  <si>
    <t>尧山镇</t>
  </si>
  <si>
    <t>县发改委</t>
  </si>
  <si>
    <t>营盘沟村</t>
  </si>
  <si>
    <t>改造道路、新建排水沟、新建路沿石、等配套设施</t>
  </si>
  <si>
    <t>县级资金</t>
  </si>
  <si>
    <t>鲁财预字〔2024〕201号</t>
  </si>
  <si>
    <t>县级财政衔接推进乡村振兴补助资金</t>
  </si>
  <si>
    <t>479户（脱贫户72户）</t>
  </si>
  <si>
    <t>1846人（脱贫人口215人）</t>
  </si>
  <si>
    <t>梁洼镇南郎店村蛮子坡组内道路建设项目</t>
  </si>
  <si>
    <t>梁洼镇</t>
  </si>
  <si>
    <t>南郎店村</t>
  </si>
  <si>
    <t>新建混凝土道路总长1526米，均宽4.5米，路面厚20公分，采用C30商品混凝土瓷筑。</t>
  </si>
  <si>
    <t>503户（脱贫户51户）</t>
  </si>
  <si>
    <t>1887人（脱贫人口185人）</t>
  </si>
  <si>
    <t>马楼乡沙渚汪村排水渠建设项目</t>
  </si>
  <si>
    <t>农村污水治理</t>
  </si>
  <si>
    <t>马楼乡</t>
  </si>
  <si>
    <t>沙渚汪村</t>
  </si>
  <si>
    <t>新建排污渠四处，总长446m,其中埋管DN500双壁波纹管长136m。</t>
  </si>
  <si>
    <t>257户（脱贫户26户）</t>
  </si>
  <si>
    <t>981人（脱贫人口73人）</t>
  </si>
  <si>
    <t>瀼河乡头道庙村组通道路建设项目</t>
  </si>
  <si>
    <t>瀼河乡</t>
  </si>
  <si>
    <t>头道庙村</t>
  </si>
  <si>
    <t>新建c25混凝土道路3条，长度合计1908米。A段3.5米宽，长1470米；B、C段宽3米，长438米；厚20cm。</t>
  </si>
  <si>
    <t>685户（脱贫户45户）</t>
  </si>
  <si>
    <t>2920人（脱贫人口126人）</t>
  </si>
  <si>
    <t>仓头乡黄楝树道路项目</t>
  </si>
  <si>
    <t>农田建设</t>
  </si>
  <si>
    <t>仓头乡</t>
  </si>
  <si>
    <t>黄楝树</t>
  </si>
  <si>
    <t>5条道路，其中1-2号路路面宽度4.5米，路基宽度5.5米，新建20cm厚混凝土路面；3-5号路路面宽度3.0米，路基宽度4.0米，新建18cm厚混凝土路面。建设总长度2841.5米。</t>
  </si>
  <si>
    <t>374户（脱贫户72户）</t>
  </si>
  <si>
    <t>1644人（脱贫人口182人）</t>
  </si>
  <si>
    <t>磙子营乡白庙村至东岗阜村通村道路</t>
  </si>
  <si>
    <t>磙子营乡</t>
  </si>
  <si>
    <t>白庙村</t>
  </si>
  <si>
    <t>新建混凝土路面1125米；宽4.5米，采用18厘米厚C25商砼。</t>
  </si>
  <si>
    <t>266户（脱贫户44户）</t>
  </si>
  <si>
    <t>1711人（脱贫人口137人）</t>
  </si>
  <si>
    <t>瓦屋镇刘相公庄村刘一组道路建设项目</t>
  </si>
  <si>
    <t>瓦屋镇</t>
  </si>
  <si>
    <t>刘相公村</t>
  </si>
  <si>
    <t>1、修复沥青混凝土道路2条，采用5cm厚沥青混凝土，其中1120米，原道路宽3.5m,加宽1m,铺设5cm厚沥青混凝土，其中100米，原路面宽4m,直接铺设5cm厚沥青混凝土，其中148米，原路面宽3.5m,直接铺设5cm厚沥青混凝土，过路涵一处。2、BK道路长60m,其中25米原有道路宽3.5m,加宽1m,铺设5cm厚沥青混凝土，35米原路面宽3.5m,直接铺设5cm厚沥青混凝土.3、新建道路挡墙长87m,高1.2m。4、新建护坡一处，长86m,高3m。</t>
  </si>
  <si>
    <t>670户（脱贫户114户）</t>
  </si>
  <si>
    <t>2417人（脱贫人口405人）</t>
  </si>
  <si>
    <t>瓦屋镇石门村护庄堰建设项目</t>
  </si>
  <si>
    <t>石门村</t>
  </si>
  <si>
    <t>新建护堰四处，2m高护堰长310m,2.5m高护堰长39m,3.0m高护堰长35m</t>
  </si>
  <si>
    <t>528户（脱贫户44户）</t>
  </si>
  <si>
    <t>2143人（脱贫人口100人）</t>
  </si>
  <si>
    <t>瓦屋镇马老庄村道路及排水工程</t>
  </si>
  <si>
    <t>马老庄村</t>
  </si>
  <si>
    <t>1、2米宽道路33.5米。3米宽道路252米。4米宽道路243米。4.5米宽道路30米。3.5米宽道路445米。路口加宽164m2厚18cm、其中2米宽道路共计35.5米，3米宽道路共计252米，3.5米宽道路共计445米、4.0米宽道路243米、4.5米宽道路30米。2、混凝土路面拆除共计130平方米。3、砖砌排水沟长225米。4.波纹管排水管84米，排水检查井2个，砖砌检查井一座。5.新建53立方沉淀池一座，新建28立方沉淀池一座。6、新建护坡长25m,均高3m。</t>
  </si>
  <si>
    <t>534户（脱贫户74户）</t>
  </si>
  <si>
    <t>1995人（脱贫人口154人）</t>
  </si>
  <si>
    <t>第二批</t>
  </si>
  <si>
    <t>鲁山县2024年小额信贷贴息</t>
  </si>
  <si>
    <t>脱贫人口小额信贷贴息</t>
  </si>
  <si>
    <t>县金融扶贫服务中心</t>
  </si>
  <si>
    <t>小额贷款贴息</t>
  </si>
  <si>
    <t>3109户</t>
  </si>
  <si>
    <t>通过奖补项目的实施，激发三类户自我发展的内生动力，达到家庭增收的目标。</t>
  </si>
  <si>
    <t>鲁山县2024年雨露计划职业教育培训补贴</t>
  </si>
  <si>
    <t>拟补助3075人，每人补助1500元。</t>
  </si>
  <si>
    <t>3075人</t>
  </si>
  <si>
    <t>通过雨露计划职业教育补助，达到家庭增收的目标，使学生顺利完成学业。</t>
  </si>
  <si>
    <t>第三批</t>
  </si>
  <si>
    <t>鲁山县2024年公益岗位工资补助（县乡村振兴局一期）</t>
  </si>
  <si>
    <t>公益岗位补助</t>
  </si>
  <si>
    <t>公益性岗位工资</t>
  </si>
  <si>
    <t>受益4404人</t>
  </si>
  <si>
    <t>激发脱贫户内生动力，增加低收入口收入</t>
  </si>
  <si>
    <t>鲁山县2024年平顶山市驻村第一书记市级专项经费</t>
  </si>
  <si>
    <t>第一书记工作经费</t>
  </si>
  <si>
    <t>市派驻村第一书记专项工作经费资金</t>
  </si>
  <si>
    <t>市级资金</t>
  </si>
  <si>
    <t>平财预〔2024〕247号</t>
  </si>
  <si>
    <t>市级财政衔接推进乡村振兴补助资金</t>
  </si>
  <si>
    <t>67人</t>
  </si>
  <si>
    <r>
      <rPr>
        <sz val="9"/>
        <rFont val="黑体"/>
        <charset val="134"/>
      </rPr>
      <t>加快欠发达地区巩固拓展脱贫攻坚成果同乡村振兴有效衔接，支持市直单位和驻平单位派驻村（脱贫村、乡村振兴任务重的村、党组织软弱涣散村等）第一书记开展好驻村帮扶工作，项目资金批复后每名市级驻村第一书记2万元.</t>
    </r>
    <r>
      <rPr>
        <sz val="9"/>
        <rFont val="Times New Roman"/>
        <charset val="134"/>
      </rPr>
      <t> </t>
    </r>
  </si>
  <si>
    <t>鲁山县2024年公益岗位工资补助（政法委治安巡逻员一期）</t>
  </si>
  <si>
    <t>县政法委</t>
  </si>
  <si>
    <t xml:space="preserve">平财预〔2024〕246号 </t>
  </si>
  <si>
    <t>受益297人</t>
  </si>
  <si>
    <t>鲁山县2024年公益岗位工资补助（河务局河道专管员一期）</t>
  </si>
  <si>
    <t>县河务局</t>
  </si>
  <si>
    <t>受益243人</t>
  </si>
  <si>
    <t>鲁山县2024年公益岗位工资补助（社保协管员一期）</t>
  </si>
  <si>
    <t>县人社局</t>
  </si>
  <si>
    <t>受益540人</t>
  </si>
  <si>
    <t>鲁山县2024年公益岗位工资补助（住建局保洁员一期）</t>
  </si>
  <si>
    <t>县住建局（垃圾治理办公室）</t>
  </si>
  <si>
    <t>受益1429人</t>
  </si>
  <si>
    <t>熊背乡宝山村农家乐配套道路建设项目</t>
  </si>
  <si>
    <t>熊背乡</t>
  </si>
  <si>
    <t>宝山村</t>
  </si>
  <si>
    <t>1、新建均宽4米C25混凝土道路长1600米，厚0.2米。2、新建浆砌石挡土墙1长23米，均高7米；砌石挡土墙2长20米，均高5米等设施。</t>
  </si>
  <si>
    <t>245户（脱贫户52户）</t>
  </si>
  <si>
    <t>1030人（脱贫人口140人）</t>
  </si>
  <si>
    <t>观音寺乡太平保村菌种车间设备采购项目</t>
  </si>
  <si>
    <t>种植业（农业生产-含配套基础设施）</t>
  </si>
  <si>
    <t>观音寺乡</t>
  </si>
  <si>
    <t>太平保村</t>
  </si>
  <si>
    <t>采购安装装袋车间搅拌系统1套、装袋生产线1线、锅炉系统1套、食用菌灭菌柜4台、香菇接种系统2套。加工不锈钢蒸架240架，配套安装动力电源系统。</t>
  </si>
  <si>
    <t>524户（脱贫户141户）</t>
  </si>
  <si>
    <t>2006人（脱贫人口536人）</t>
  </si>
  <si>
    <t>项目使用方按照不低于投资额的10%落实带贫绩效用以壮大村集体经济，促进当地经济发展，带领贫困户致富</t>
  </si>
  <si>
    <t>鲁山县2024年县派第一书记驻村专项经费1</t>
  </si>
  <si>
    <t>张官营镇</t>
  </si>
  <si>
    <t>县驻村办</t>
  </si>
  <si>
    <t>张官营</t>
  </si>
  <si>
    <t>县派驻村第一书记专项工作经费</t>
  </si>
  <si>
    <t>受益人口485人</t>
  </si>
  <si>
    <r>
      <rPr>
        <sz val="9"/>
        <rFont val="黑体"/>
        <charset val="134"/>
      </rPr>
      <t>加快欠发达地区巩固拓展脱贫攻坚成果同乡村振兴有效衔接，支持县派第一书记开展好驻村帮扶工作.</t>
    </r>
    <r>
      <rPr>
        <sz val="9"/>
        <rFont val="Times New Roman"/>
        <charset val="134"/>
      </rPr>
      <t> </t>
    </r>
    <r>
      <rPr>
        <sz val="9"/>
        <rFont val="黑体"/>
        <charset val="134"/>
      </rPr>
      <t>群众满意度97%以上。</t>
    </r>
  </si>
  <si>
    <t>鲁山县2024年县派第一书记驻村专项经费2</t>
  </si>
  <si>
    <t>磙子营镇</t>
  </si>
  <si>
    <t>磙子营</t>
  </si>
  <si>
    <t>鲁山县2024年县派第一书记驻村专项经费3</t>
  </si>
  <si>
    <t>张良镇</t>
  </si>
  <si>
    <t>张良</t>
  </si>
  <si>
    <t>鲁山县2024年县派第一书记驻村专项经费4</t>
  </si>
  <si>
    <t>马楼</t>
  </si>
  <si>
    <t>鲁山县2024年县派第一书记驻村专项经费5</t>
  </si>
  <si>
    <t>让河乡</t>
  </si>
  <si>
    <t>让河</t>
  </si>
  <si>
    <t>鲁山县2024年县派第一书记驻村专项经费6</t>
  </si>
  <si>
    <t>熊背</t>
  </si>
  <si>
    <t>鲁山县2024年县派第一书记驻村专项经费7</t>
  </si>
  <si>
    <t>下汤镇</t>
  </si>
  <si>
    <t>下汤</t>
  </si>
  <si>
    <t>鲁山县2024年县派第一书记驻村专项经费8</t>
  </si>
  <si>
    <t>团城乡</t>
  </si>
  <si>
    <t>团城</t>
  </si>
  <si>
    <t>鲁山县2024年县派第一书记驻村专项经费9</t>
  </si>
  <si>
    <t>四棵树</t>
  </si>
  <si>
    <t>鲁山县2024年县派第一书记驻村专项经费10</t>
  </si>
  <si>
    <t>赵村</t>
  </si>
  <si>
    <t>鲁山县2024年县派第一书记驻村专项经费11</t>
  </si>
  <si>
    <t>尧山</t>
  </si>
  <si>
    <t>鲁山县2024年县派第一书记驻村专项经费12</t>
  </si>
  <si>
    <t>瓦屋</t>
  </si>
  <si>
    <t>鲁山县2024年县派第一书记驻村专项经费13</t>
  </si>
  <si>
    <t>背孜乡</t>
  </si>
  <si>
    <t>背孜</t>
  </si>
  <si>
    <t>鲁山县2024年县派第一书记驻村专项经费14</t>
  </si>
  <si>
    <t>观音寺</t>
  </si>
  <si>
    <t>鲁山县2024年县派第一书记驻村专项经费15</t>
  </si>
  <si>
    <t>土门办事处</t>
  </si>
  <si>
    <t>土门</t>
  </si>
  <si>
    <t>鲁山县2024年县派第一书记驻村专项经费16</t>
  </si>
  <si>
    <t>董周乡</t>
  </si>
  <si>
    <t>董周</t>
  </si>
  <si>
    <t>鲁山县2024年县派第一书记驻村专项经费17</t>
  </si>
  <si>
    <t>仓头</t>
  </si>
  <si>
    <t>鲁山县2024年县派第一书记驻村专项经费18</t>
  </si>
  <si>
    <t>张店乡</t>
  </si>
  <si>
    <t>张店</t>
  </si>
  <si>
    <t>鲁山县2024年县派第一书记驻村专项经费19</t>
  </si>
  <si>
    <t>辛集乡</t>
  </si>
  <si>
    <t>辛集</t>
  </si>
  <si>
    <t>鲁山县2024年县派第一书记驻村专项经费20</t>
  </si>
  <si>
    <t>梁洼</t>
  </si>
  <si>
    <t>鲁山县2024年县派第一书记驻村专项经费21</t>
  </si>
  <si>
    <t>库区</t>
  </si>
  <si>
    <t>鲁山县2024年县派第一书记驻村专项经费22</t>
  </si>
  <si>
    <t>鲁阳办事处</t>
  </si>
  <si>
    <t>鲁阳</t>
  </si>
  <si>
    <t>鲁山县2024年县派第一书记驻村专项经费23</t>
  </si>
  <si>
    <t>琴台办事处</t>
  </si>
  <si>
    <t>琴台</t>
  </si>
  <si>
    <t>鲁山县2024年县派第一书记驻村专项经费24</t>
  </si>
  <si>
    <t>汇源办事处</t>
  </si>
  <si>
    <t>汇源</t>
  </si>
  <si>
    <t>鲁山县2024年县派第一书记驻村专项经费25</t>
  </si>
  <si>
    <t>露峰办事处</t>
  </si>
  <si>
    <t>露峰</t>
  </si>
  <si>
    <t>鲁山县2024年县派第一书记驻村专项经费26</t>
  </si>
  <si>
    <t>城南新区</t>
  </si>
  <si>
    <t>鲁山县2024年县派第一书记驻村专项经费27</t>
  </si>
  <si>
    <t>江河新区</t>
  </si>
  <si>
    <t>第四批</t>
  </si>
  <si>
    <t>董周乡沈庄村七里河平板桥建设项目</t>
  </si>
  <si>
    <t>沈庄村</t>
  </si>
  <si>
    <t>新建桥梁一座，长40米；新建引桥面积254平方米，厚20cm,强度C30；新建挡墙两处，总长98米，均高3米。</t>
  </si>
  <si>
    <t>312户（脱贫户43户）</t>
  </si>
  <si>
    <t>1313人（脱贫人口134人）</t>
  </si>
  <si>
    <t>观音寺乡太平保村挡墙建设项目</t>
  </si>
  <si>
    <t>太平堡村</t>
  </si>
  <si>
    <t>1、新建挡墙1，长度310米。2、新建挡墙2，长度170米。3、新建护坡1处，其中坡脚墙长度85米，护坡长度65米，上部挡墙长度90米。</t>
  </si>
  <si>
    <t>磙子营乡磙子营村农机购置项目</t>
  </si>
  <si>
    <t>磙子营村</t>
  </si>
  <si>
    <t>拖拉机 LD2104，2台、拖拉机LX1000，2台、圆梱打捆机9YH-1.25，2台、捡拾压捆机9YK-220，1台、搂草机9LZ-5.6，2台。</t>
  </si>
  <si>
    <t>117户（脱贫户7户）</t>
  </si>
  <si>
    <t>774人（脱贫人口19人）</t>
  </si>
  <si>
    <t>马楼乡双柳树村排水渠建设项目</t>
  </si>
  <si>
    <t>双柳树村</t>
  </si>
  <si>
    <t>1、新建D400mm涵管长316米，新建D600mm涵管长263米:2、新建砖砌圆形检查井17座，新建矩形三通检查井2座，新建单篦雨水口8座。3、拆除并恢复原混凝土路面长60米，厚0.2米；加宽C25混凝土道路长340米，均宽1米。</t>
  </si>
  <si>
    <t>511户（脱贫户22户）</t>
  </si>
  <si>
    <t>22人（脱贫人口48人）</t>
  </si>
  <si>
    <t>下汤镇红石寺泳衣加工厂配套设施项目</t>
  </si>
  <si>
    <t>仓储物流（加工流通业）</t>
  </si>
  <si>
    <t>红石寺村</t>
  </si>
  <si>
    <t>安装水泵1台，10吨无塔1座，布设电源线和供水管路，采购安装生产设备；等配套设施。</t>
  </si>
  <si>
    <t>300户（脱贫户74户）</t>
  </si>
  <si>
    <t>1392人（脱贫人口271人）</t>
  </si>
  <si>
    <t>第五批</t>
  </si>
  <si>
    <t>董周乡孔庄村农家乐及灌溉项目</t>
  </si>
  <si>
    <t>孔庄村</t>
  </si>
  <si>
    <t>1、新建二层建筑1座，共7间*2、新建一层建筑一5间、新建一层建筑2间；2、院内新建透水砖道路939.5平方米，木栈道含栏杆长181米；3、新建灌溉管网及配套，无塔罐1套及配套灌溉管网和阀门。</t>
  </si>
  <si>
    <t>399户（脱贫户29户）</t>
  </si>
  <si>
    <t>1675人（脱贫人口89人）</t>
  </si>
  <si>
    <t>磙子营乡宝林村村内道路建设项目</t>
  </si>
  <si>
    <t>宝林村</t>
  </si>
  <si>
    <r>
      <rPr>
        <sz val="9"/>
        <rFont val="黑体"/>
        <charset val="134"/>
      </rPr>
      <t>沥青道路总长1775m，其中路宽4.5m道路长为1775m；混凝土道路长260m，宽3m，厚0.15m；破除修复500m</t>
    </r>
    <r>
      <rPr>
        <sz val="9"/>
        <rFont val="宋体"/>
        <charset val="134"/>
      </rPr>
      <t>²</t>
    </r>
    <r>
      <rPr>
        <sz val="9"/>
        <rFont val="黑体"/>
        <charset val="134"/>
      </rPr>
      <t>。</t>
    </r>
  </si>
  <si>
    <t>341户（脱贫户18户）</t>
  </si>
  <si>
    <t>1613人（脱贫人口33人）</t>
  </si>
  <si>
    <t>背孜乡葛花园村碳颗粒加工项目</t>
  </si>
  <si>
    <t>葛花园村</t>
  </si>
  <si>
    <t>1、钢结构长50米，宽14米加工车间一座；2、钢结构长30米，宽14米料棚一座；3、室外地坪硬化C25混凝土20公分厚1800平方米；4、设备采购</t>
  </si>
  <si>
    <t>711户（脱贫户61户）</t>
  </si>
  <si>
    <t>2909人（脱贫人口204人）</t>
  </si>
  <si>
    <t>库区乡金沟村山湾组民宿建设项目</t>
  </si>
  <si>
    <t>金沟村</t>
  </si>
  <si>
    <t>新建民宿一座，建筑面积214.4平方米，及水电配套</t>
  </si>
  <si>
    <t>396户（脱贫户37户）</t>
  </si>
  <si>
    <t>1747人（脱贫人口126人）</t>
  </si>
  <si>
    <t>四棵树乡黄沟村休闲生态观光园民宿项目</t>
  </si>
  <si>
    <t>黄沟村</t>
  </si>
  <si>
    <t>总面积约为787.2平方装修。其中，室内面积154平方，民宿一层客房及配套室内面积453平方，楼梯等配套面积181平方。</t>
  </si>
  <si>
    <t>326户（脱贫户32户）</t>
  </si>
  <si>
    <t>1510人（脱贫人口67人）</t>
  </si>
  <si>
    <t>尧山镇下坪村民宿项目</t>
  </si>
  <si>
    <t>下坪村</t>
  </si>
  <si>
    <t>1、建筑内部装修面积1036平方米；2、配套餐厅101平方米等。</t>
  </si>
  <si>
    <t>208户（脱贫户36户）</t>
  </si>
  <si>
    <t>758人（脱贫人口104人）</t>
  </si>
  <si>
    <t>张良镇老庄村羊场二期建设项目</t>
  </si>
  <si>
    <t>老庄村</t>
  </si>
  <si>
    <t>新建羊舍2座，牛舍1座，草料仓库1座，储青池1座，消毒池1座，消毒间1座；打井1眼，深330米及相关配套设施；采购饲料搅拌机，青储取料机等相关设备</t>
  </si>
  <si>
    <t>259户（脱贫户24户）</t>
  </si>
  <si>
    <t>1065人（脱贫人口58人）</t>
  </si>
  <si>
    <t>马楼乡虎营村养菌大棚建设项目</t>
  </si>
  <si>
    <t>虎营村</t>
  </si>
  <si>
    <t>新建8米宽40米长养菌棚6座及配套设施</t>
  </si>
  <si>
    <t>1014户（脱贫户75户）</t>
  </si>
  <si>
    <t>4351人（脱贫人口168人）</t>
  </si>
  <si>
    <t>团城乡寺沟村民宿及配套设施建设项目</t>
  </si>
  <si>
    <t>寺沟村</t>
  </si>
  <si>
    <t>民宿主体建筑面积974.7平方米装修，园区碎石道路、管护木屋及水电等配套设施</t>
  </si>
  <si>
    <t>442户（脱贫户72户）</t>
  </si>
  <si>
    <t>1397人（脱贫人口250人）</t>
  </si>
  <si>
    <t>熊背乡雁鸣庄村村内道路提质改造建设项目</t>
  </si>
  <si>
    <t>雁鸣庄村</t>
  </si>
  <si>
    <t>1.5米-4米宽5公分厚沥青道路长5580米，共计19548.8平方米</t>
  </si>
  <si>
    <t>373户（脱贫户184户）</t>
  </si>
  <si>
    <t>1443人（脱贫人口741人）</t>
  </si>
  <si>
    <t>熊背乡晒衣山村养殖建设项目</t>
  </si>
  <si>
    <t>晒衣山村</t>
  </si>
  <si>
    <t>标准化羊舍2座，总长96米，宽11米，及必要的配套设施</t>
  </si>
  <si>
    <t>326户（脱贫户39户）</t>
  </si>
  <si>
    <t>1152人（脱贫人口112人）</t>
  </si>
  <si>
    <t>土门办事处构树庄村漫水桥及护堰建设项目</t>
  </si>
  <si>
    <t>构树庄村</t>
  </si>
  <si>
    <t>1.新建挡墙四处，护堰一长74米,均高2.9米；挡墙二长100米,均高2米,挡墙三长9米,均高1.5米,挡墙；四长160米,均高3.3米。2.新建漫水桥一座及引桥配套，强度C25。</t>
  </si>
  <si>
    <t>46户（脱贫户6户）</t>
  </si>
  <si>
    <t>182人（脱贫人口10人）</t>
  </si>
  <si>
    <t>瀼河乡老东村养鸡场配套设施项目</t>
  </si>
  <si>
    <t>老东村</t>
  </si>
  <si>
    <t>采购安装设备：1、笼架系统1套。2、喂料系统1套。3、清粪系统1套。4、自动集蛋系统1套。5、通风系统1套。6、灯光系统1套。7、电器控制系统1套。</t>
  </si>
  <si>
    <t>294户（脱贫户42户）</t>
  </si>
  <si>
    <t>1241人（脱贫人口120人）</t>
  </si>
  <si>
    <t>第六批</t>
  </si>
  <si>
    <t>鲁山县农村人居环境整治项目</t>
  </si>
  <si>
    <t>美丽乡村</t>
  </si>
  <si>
    <t>县农业农村局</t>
  </si>
  <si>
    <t>董周乡常庄村
梁洼镇连沟村
土门办事处虎盘河村
背孜乡背孜村
四棵树乡张沟村
团城乡枣庄村
张店乡界板沟村
瓦屋镇土桥村
张官营镇区</t>
  </si>
  <si>
    <t>主要建设9个乡镇9个村污水处理设施，配套污水管网，收集处理项目所在村的生活污水及废水。其中项目管理费1%，项目设计费1.5%，项目监理费1.5%。</t>
  </si>
  <si>
    <t>10923户（脱贫户970户）</t>
  </si>
  <si>
    <t>45142人（脱贫人口1347人）</t>
  </si>
  <si>
    <t>第七批</t>
  </si>
  <si>
    <t>张良镇姚吴程村豆制品加工车间项目</t>
  </si>
  <si>
    <t>姚吴程</t>
  </si>
  <si>
    <t>新建60米长43米宽加工厂房2座，加工厂房采用单层钢结构，厂房顶部设置排气天窗架，厂房地面为120mm厚C25混凝土地面</t>
  </si>
  <si>
    <t>321户（脱贫户171户）</t>
  </si>
  <si>
    <t>1379人（脱贫人口754人）</t>
  </si>
  <si>
    <t>熊背乡草店村护堰及道路建设项目</t>
  </si>
  <si>
    <t>草店村</t>
  </si>
  <si>
    <t>1.新建均高4米浆砌石护堤长90米。2.新建均高1米浆砌石护堤长52米。3.新建均宽3.5米混凝土道路长490米，厚18cm。</t>
  </si>
  <si>
    <t>420户（脱贫户96户）</t>
  </si>
  <si>
    <t>1760人（脱贫人口365人）</t>
  </si>
  <si>
    <t>张店乡张店村组通道路建设项目</t>
  </si>
  <si>
    <t>张店村</t>
  </si>
  <si>
    <t>修建2.3米宽、15cm厚混凝土道路447米，3.0米宽15cm厚混凝土道路193米，合计1607.1平方米；新建3.5米宽、5cm厚修复道路540米，4.0米宽、厚5cm修复道路889米，合计5447平方米。</t>
  </si>
  <si>
    <t>511户（脱贫户35户）</t>
  </si>
  <si>
    <t>2348人（脱贫人口76人）</t>
  </si>
  <si>
    <t>马楼乡贾集村农家乐建设项目</t>
  </si>
  <si>
    <t>贾集村</t>
  </si>
  <si>
    <t>新建农家乐一座，建筑面588.49平方米，及水、电等配套设施</t>
  </si>
  <si>
    <t>690户（脱贫户127户）</t>
  </si>
  <si>
    <t>2928人（脱贫人口485人）</t>
  </si>
  <si>
    <t>背孜乡井河口村通组道路建设项目</t>
  </si>
  <si>
    <t>井河口村</t>
  </si>
  <si>
    <t>1、新建沥青道路2条，长度合计3000米；其中1250米宽3.5米，厚0.05米；1750米宽3米，厚0.05米；2、新建c25混凝土道路4条，长度合计1445米，宽3米，厚0.15米。3、过路涵1处。</t>
  </si>
  <si>
    <t>481户（脱贫户226户）</t>
  </si>
  <si>
    <t>1645人（脱贫人口802人）</t>
  </si>
  <si>
    <t>赵村镇朱家坟村护庄护地堤项目</t>
  </si>
  <si>
    <t>朱家坟村</t>
  </si>
  <si>
    <t>新建护堰长510米，均高3.5米</t>
  </si>
  <si>
    <t>303户（脱贫户30户）</t>
  </si>
  <si>
    <t>1223人（脱贫人口52人）</t>
  </si>
  <si>
    <t>四棵树乡代坪村钱庄至梁庄组道路修复</t>
  </si>
  <si>
    <t>代坪村</t>
  </si>
  <si>
    <t>1、新建道路三条，道路AK长1140m,道路BK长645m,道路CK长113m,宽4.5m,厚20cm,强度C25.2、新建平板桥一座。3、新建2.0m高护堰三处总长73m.</t>
  </si>
  <si>
    <t>552（脱贫户87户）</t>
  </si>
  <si>
    <t>2049人（脱贫人口208人）</t>
  </si>
  <si>
    <t>下汤镇尹和庄村护路堰项目</t>
  </si>
  <si>
    <t>尹和庄村</t>
  </si>
  <si>
    <t>护堰长310米，高2米</t>
  </si>
  <si>
    <t>189户（脱贫户80户）</t>
  </si>
  <si>
    <t>751人（脱贫人口324人）</t>
  </si>
  <si>
    <t>鲁山县2024年公益岗位工资补助（县乡村振兴局二期）</t>
  </si>
  <si>
    <t>受益4452人</t>
  </si>
  <si>
    <t>鲁山县2024年公益岗位工资补助（河务局河道专管员二期）</t>
  </si>
  <si>
    <t>鲁山县2024年公益岗位工资补助（社保协管员二期）</t>
  </si>
  <si>
    <t>受益534人</t>
  </si>
  <si>
    <t>鲁山县2024年公益岗位工资补助（住建局保洁员二期）</t>
  </si>
  <si>
    <t>受益1453人</t>
  </si>
  <si>
    <t>鲁山县2024年乡村振兴经营主体吸纳我县脱贫劳动力务工奖补资金（农业农村局）</t>
  </si>
  <si>
    <t>其他就业奖补补助</t>
  </si>
  <si>
    <t>带贫企业奖补资金</t>
  </si>
  <si>
    <t>平财预〔2024〕246号</t>
  </si>
  <si>
    <t>430人</t>
  </si>
  <si>
    <t>鲁山县2024年乡村振兴经营主体吸纳我县脱贫劳动力务工奖补资金（林业局）</t>
  </si>
  <si>
    <t>县林业局</t>
  </si>
  <si>
    <t>89人</t>
  </si>
  <si>
    <t>鲁山县2024年疫乡村振兴经营主体吸纳我县脱贫劳动力务工奖补资金（商务局）</t>
  </si>
  <si>
    <t>县商务局</t>
  </si>
  <si>
    <t>50人</t>
  </si>
  <si>
    <t>鲁山县2024年乡村振兴经营主体吸纳我县脱贫劳动力务工奖补资金（工信局）</t>
  </si>
  <si>
    <t>县工信局</t>
  </si>
  <si>
    <t>121人</t>
  </si>
  <si>
    <t>鲁山县2024年小额信贷贴息（二期）</t>
  </si>
  <si>
    <t>县金融发展服务中心</t>
  </si>
  <si>
    <t>440户</t>
  </si>
  <si>
    <t>第八批</t>
  </si>
  <si>
    <t>张良镇郭沟村豆制品加工车间项目</t>
  </si>
  <si>
    <t>郭沟村</t>
  </si>
  <si>
    <t>生产厂房1座长72米，宽35米，厂区大门1座及围墙401米，4米宽18厘米厚道路322米，蒸汽管道1200米。</t>
  </si>
  <si>
    <t>170户（脱贫户5户）</t>
  </si>
  <si>
    <t>685人（脱贫人口14人）</t>
  </si>
  <si>
    <t>赵村镇赵村村豫涧民俗配套及附属项目</t>
  </si>
  <si>
    <t>赵村村</t>
  </si>
  <si>
    <t>阳光房630平方米，室内装饰装修；民宿一245平方米，室内装修；民宿二225平方米，室内装修；操作间主体及室内外装饰装修；及院内木质栏杆350米及石材小路350m2、9.3米*4.3米木质凉亭2座、12.2米*4.3米木质凉亭1座、6.8米*4.8米木质凉亭1座</t>
  </si>
  <si>
    <t>523户（脱贫户227户）</t>
  </si>
  <si>
    <t>2454人（脱贫人口743）</t>
  </si>
  <si>
    <t>熊背乡茶庵村挡墙建设项目</t>
  </si>
  <si>
    <t>茶庵村</t>
  </si>
  <si>
    <t>新建浆砌石挡土墙高度3.8米的挡土墙总长度为100米，浆明石砌筑采用M7.5水泥砂浆。</t>
  </si>
  <si>
    <t>196户（脱贫户189户）</t>
  </si>
  <si>
    <t>752人（脱贫人口724人）</t>
  </si>
  <si>
    <t>背孜乡长河村菌棒生产基地项目</t>
  </si>
  <si>
    <t>长河村</t>
  </si>
  <si>
    <t>新建轻钢厂房18米*20米一座及设备、水、电等配套设施；新增硬化厚0.2米地坪约150平方。</t>
  </si>
  <si>
    <t>453户（脱贫户269户）</t>
  </si>
  <si>
    <t>1802人（脱贫人口1014人）</t>
  </si>
  <si>
    <t>观音寺乡太平保村菌种车间建设项目</t>
  </si>
  <si>
    <t>新建加工厂房1座，宽28米，长120米；新建锅炉房1座，宽6.5米，长18米；新建水井2眼，无塔2座，铺筑200mm厚C25混凝土地坪长70米，宽45米，3146平方米。</t>
  </si>
  <si>
    <t>张店乡刘湾村速冻食品加工配套设施项目</t>
  </si>
  <si>
    <t>刘湾村</t>
  </si>
  <si>
    <t>1.5吨双螺旋速冻冷源及双螺旋速冻隧道一条，200平方冷库一座。</t>
  </si>
  <si>
    <t>588户（脱贫户70户）</t>
  </si>
  <si>
    <t>2852人（脱贫人口176人）</t>
  </si>
  <si>
    <t>董周乡常庄村酥梨分拣大棚建设项目</t>
  </si>
  <si>
    <t>常庄村</t>
  </si>
  <si>
    <t>新建钢构厂房一座：长54米，宽21米；管护房一座：长15.6米，宽6米；及水、电等配套设施</t>
  </si>
  <si>
    <t>698户（脱贫户44户)</t>
  </si>
  <si>
    <t>2940人（脱贫人口113人）</t>
  </si>
  <si>
    <t>董周乡龚庄村香菇种植大棚建设项目</t>
  </si>
  <si>
    <t>龚庄村</t>
  </si>
  <si>
    <t>新建菌棚20座，宽6米，长38米</t>
  </si>
  <si>
    <t>277户（脱贫户31户）</t>
  </si>
  <si>
    <t>1207人（脱贫人口86人）</t>
  </si>
  <si>
    <t>瓦屋镇刘相公村护堰建设项目</t>
  </si>
  <si>
    <t>刘一组浆砌石排水渠及排水管四处，总长274m，新建挡墙十处，总长766m，高度0.5-1.6m，新建护坡长65m，均高1m，及过路盖板两处</t>
  </si>
  <si>
    <t>650户（脱贫户267户）</t>
  </si>
  <si>
    <t>2420人（脱贫人口1065人)</t>
  </si>
  <si>
    <t>瓦屋镇红石崖村平板桥及护堰建设项目</t>
  </si>
  <si>
    <t>红石崖村</t>
  </si>
  <si>
    <t>新建平板桥一座，新建水簸箕一座，新建挡墙两处，总长100米</t>
  </si>
  <si>
    <t>268户（脱贫户64户）</t>
  </si>
  <si>
    <t>979人（脱贫人口245人）</t>
  </si>
  <si>
    <t>磙子营乡平庄村村内沥青路建设项目</t>
  </si>
  <si>
    <t>平庄村</t>
  </si>
  <si>
    <t>新建沥青道路长2398.09米。其中均宽3米沥青道路长517.84米，均宽3.5米沥青混路长1061.05米，新建均宽4米沥青路长528.46米，均宽4.5米沥青路长290.74米，厚度均为0.05米。</t>
  </si>
  <si>
    <t>407户（脱贫户39户）</t>
  </si>
  <si>
    <t>1886人（脱贫人口119人）</t>
  </si>
  <si>
    <t>库区乡火石岈村加工与仓储厂房项目</t>
  </si>
  <si>
    <t>火石岈村</t>
  </si>
  <si>
    <t>新建两层车间1座，长38米，宽26米，总建筑面积1976平方米，及水、电等配套设施</t>
  </si>
  <si>
    <t>214户（脱贫户9户）</t>
  </si>
  <si>
    <t>1028人（脱贫人口21人）</t>
  </si>
  <si>
    <t>尧山镇想马河村易地搬迁社区民宿配套项目</t>
  </si>
  <si>
    <t>想马河村</t>
  </si>
  <si>
    <t>1、改造民宿1座及相关配套设施。2、新建砖砌围墙1长15米。3、新建浆砌石拦水坝长16米，新建浆砌石护堤长48米。4、院内合适位置新建步道长100米，石材地面348平方米。5、新建六角亭1座。</t>
  </si>
  <si>
    <t>397户（脱贫户40户）</t>
  </si>
  <si>
    <t>1278人（脱贫人口99人）</t>
  </si>
  <si>
    <t>下汤镇岳庄村蛋鸭养殖基地配套设施项目</t>
  </si>
  <si>
    <t>岳庄村</t>
  </si>
  <si>
    <t>生态净化池1500㎡、管护房280㎡、管理区生活用房300㎡、围栏927m、仓库480㎡、沼气池40㎡、排水140m、浆砌石挡墙129m、石笼挡土墙185m，晾晒地坪480㎡等。</t>
  </si>
  <si>
    <t>296户（脱贫户101户）</t>
  </si>
  <si>
    <t>1227人（脱贫人口367人）</t>
  </si>
  <si>
    <t>鲁山县2024年乡村振兴经营主体吸纳我县脱贫劳动力务工奖补资金（文化广电和旅游局）</t>
  </si>
  <si>
    <t>县文化广电和旅游局</t>
  </si>
  <si>
    <t>15人</t>
  </si>
  <si>
    <t>鲁山县2024年公益岗位工资补助（政法委治安巡逻员二期）</t>
  </si>
  <si>
    <t>296人</t>
  </si>
  <si>
    <t>鲁山县2024年乡村振兴经营主体吸纳我县脱贫劳动力务工奖补资金（乡村振兴局）</t>
  </si>
  <si>
    <t>12人</t>
  </si>
  <si>
    <t>第九批</t>
  </si>
  <si>
    <t>张店乡郭庄村李家庄组产业路建设项目</t>
  </si>
  <si>
    <t>郭庄村</t>
  </si>
  <si>
    <t>新修筑4.5米宽20cm厚水泥混凝土道路1249m;修筑4.5米宽18cm厚水泥混凝土道路803m</t>
  </si>
  <si>
    <t>530户（脱贫户91户）</t>
  </si>
  <si>
    <t>2234人（脱贫人口258人）</t>
  </si>
  <si>
    <t>赵村镇赵村村香菇大棚建设项目</t>
  </si>
  <si>
    <t>新建香菇12座，长36米，宽6米；养菌棚1座，长45米，宽10米；及水电等配套设施</t>
  </si>
  <si>
    <t>赵村镇东坪村香菇大棚建设项目（四期）</t>
  </si>
  <si>
    <t>东坪村</t>
  </si>
  <si>
    <t>新建香菇15座，其中长50米，宽6米11座，长30米，宽6米4座；养菌棚1座，长45米，宽10米；保鲜库一座及水电等配套设施</t>
  </si>
  <si>
    <t>217户（脱贫户22户）</t>
  </si>
  <si>
    <t>1026人（脱贫人口46人）</t>
  </si>
  <si>
    <t>董周乡武庄村食品加工厂建设项目</t>
  </si>
  <si>
    <t>武庄村</t>
  </si>
  <si>
    <t>新建钢结构加工厂房1座，长度96.8米，宽度24.8米；新建钢结构库房1座，长度70.8米，宽度21.8米；新建保鲜库1座，长度21.6米，宽度15.8米，保鲜库内部有效使用面积154.6平方米；安装水、电等配套设施。</t>
  </si>
  <si>
    <t>562户（脱贫户38户）</t>
  </si>
  <si>
    <t>2463人（脱贫人口82人）</t>
  </si>
  <si>
    <t>四棵树乡张沟村农家乐提升改造项目</t>
  </si>
  <si>
    <t>张沟村</t>
  </si>
  <si>
    <t>民宿改造：1、室内改造面积约921.1㎡；2、室外翻新面积约1147㎡、围栏约130㎡等翻新；新建配套厨房：1、单层坡屋顶建筑91.35㎡，建筑高度4.1米；2、配套内部简单装修、水、电安装等。</t>
  </si>
  <si>
    <t>326户（脱贫户31户）</t>
  </si>
  <si>
    <t>1388人（脱贫人口78人）</t>
  </si>
  <si>
    <t>瓦屋镇大潺寺村道路建设项目</t>
  </si>
  <si>
    <t>大潺寺村</t>
  </si>
  <si>
    <t xml:space="preserve">1、新建混凝土道路1240米，宽4米，厚0.2米；2、新建护堰三处，护堰一长66m，均高1m，护堰二长34m，均高2.5m，护堰三长36m，均高2m。3、新建过路涵一处。
</t>
  </si>
  <si>
    <t>277户（脱贫户62户）</t>
  </si>
  <si>
    <t>946人（脱贫人口207人）</t>
  </si>
  <si>
    <t>张良镇杨李沟村羊肚菌加工车间及设备采购项目</t>
  </si>
  <si>
    <t>杨李沟村</t>
  </si>
  <si>
    <r>
      <rPr>
        <sz val="9"/>
        <rFont val="黑体"/>
        <charset val="134"/>
      </rPr>
      <t>羊肚菌加工车间两座，一号厂房长110M宽24M高8.75M占地面积约2640M</t>
    </r>
    <r>
      <rPr>
        <sz val="9"/>
        <rFont val="宋体"/>
        <charset val="134"/>
      </rPr>
      <t>²</t>
    </r>
    <r>
      <rPr>
        <sz val="9"/>
        <rFont val="黑体"/>
        <charset val="134"/>
      </rPr>
      <t>,二号车间长50M宽10M高8.5M占地面积约500M</t>
    </r>
    <r>
      <rPr>
        <sz val="9"/>
        <rFont val="宋体"/>
        <charset val="134"/>
      </rPr>
      <t>²</t>
    </r>
    <r>
      <rPr>
        <sz val="9"/>
        <rFont val="黑体"/>
        <charset val="134"/>
      </rPr>
      <t>两座车间均为钢结构厂房</t>
    </r>
  </si>
  <si>
    <t>435户（脱贫户159户）</t>
  </si>
  <si>
    <t>1864人（脱贫人口667人）</t>
  </si>
  <si>
    <t>第十批</t>
  </si>
  <si>
    <t>鲁山县2024年雨露计划短期技能培训补贴（二期）</t>
  </si>
  <si>
    <t>豫财农综〔2024〕4号</t>
  </si>
  <si>
    <t>465人</t>
  </si>
  <si>
    <t>通过雨露计划短期技能培训补助，激发三类户自我发展的内生动力，达到家庭增收的目标。</t>
  </si>
  <si>
    <t>鲁山县2024年公益岗位工资补助（县乡村振兴局三期）</t>
  </si>
  <si>
    <t>受益4398人</t>
  </si>
  <si>
    <t>鲁山县2024年公益岗位工资补助（河务局河道专管员三期）</t>
  </si>
  <si>
    <t>鲁山县2024年公益岗位工资补助（社保协管员三期）</t>
  </si>
  <si>
    <t>受益527人</t>
  </si>
  <si>
    <t>鲁山县2024年公益岗位工资补助（住建局保洁员三期）</t>
  </si>
  <si>
    <t>受益1425人</t>
  </si>
  <si>
    <t>第十一批</t>
  </si>
  <si>
    <t>瓦屋镇土桥村九间房组杨树沟护田堰建设项目</t>
  </si>
  <si>
    <t>土桥村</t>
  </si>
  <si>
    <t>新建护堰长124米，均高1.5米，修补地面面积20m2，厚20cm，强度C25</t>
  </si>
  <si>
    <t>734户（脱贫户11户）</t>
  </si>
  <si>
    <t>2581人（脱贫人口22人）</t>
  </si>
  <si>
    <t>瓦屋镇石门村养牛场配套设施建设项目</t>
  </si>
  <si>
    <t>新建草料平1座1200平方米，储青池1座722.4平方米，管护房1座202.8平方米。</t>
  </si>
  <si>
    <t>372户（脱贫户64户）</t>
  </si>
  <si>
    <t>1378人（脱贫人口179人）</t>
  </si>
  <si>
    <t>磙子营乡三山村蛋鸽厂房项目（一期）</t>
  </si>
  <si>
    <t>三山村</t>
  </si>
  <si>
    <t>1、新建养鸽厂房(含内部配套设施)共7座；2、新修c25混凝土道路，3.5米宽20厘米厚121米；4米宽15厘米厚138米；4.5米宽厚20厘米长167米；3、铺设混凝土管共72米，4、饮用水配套水管119米，水龙头及配件10套；消防水管115米，成品室外消防栓5套。5、配套电缆BLVV35*4根，线路架空，总长度为110米*4。</t>
  </si>
  <si>
    <t>451户（脱贫户20户）</t>
  </si>
  <si>
    <t>1844人（脱贫人口38人）</t>
  </si>
  <si>
    <t>尧山镇铁匠炉村民宿项目</t>
  </si>
  <si>
    <t>铁匠炉村</t>
  </si>
  <si>
    <t>本工程包含1#民宿、2#民宿及室外工程。1#民宿建筑总高度为 10.95m，总建筑面积为 872.34 ㎡。2#民宿建筑总高度为7.95m，总建筑面积为366.91㎡。室外工程包含场地铺装、水泥混凝土道路、室外给排水及无塔供水设备。</t>
  </si>
  <si>
    <t>260户（脱贫户34户）</t>
  </si>
  <si>
    <t>911人（脱贫人口69人）</t>
  </si>
  <si>
    <t>董周乡石峡沟村养殖场建设项目</t>
  </si>
  <si>
    <t>石峡沟村</t>
  </si>
  <si>
    <t>新建15米宽90米长牛舍3痤，新建18米宽48米长草料库1座，铺筑180mm厚C25混凝土进场道路宽度4米，长度523米，配套建设场内雨水管道及污水管道。</t>
  </si>
  <si>
    <t>203户（脱贫户853户）</t>
  </si>
  <si>
    <t>126人（脱贫人户545人）</t>
  </si>
  <si>
    <t>观音寺太平保村农家乐建设项目</t>
  </si>
  <si>
    <t>6米*8米木屋1座，6米*6米木屋5座，10米*6米木屋2座，10米*6米木屋1座，15米*30米钢结构大厅1座</t>
  </si>
  <si>
    <t>2006人（脱贫人户536人）</t>
  </si>
  <si>
    <t>张良镇纪营村村冷库建设项目</t>
  </si>
  <si>
    <t>纪营</t>
  </si>
  <si>
    <t>新建厂房面积180m2，长18米，宽10米；厂房内保鲜库面积60m2，及配套电线等</t>
  </si>
  <si>
    <t>290户（脱贫户13户）</t>
  </si>
  <si>
    <t>1122人（脱贫人口31人）</t>
  </si>
  <si>
    <t>马楼乡孙庄村排水渠建设项目</t>
  </si>
  <si>
    <t>孙庄村</t>
  </si>
  <si>
    <t>新建排水渠三处，排水渠一600*600，总长度225米，排水渠二400*400，总长度646米，排水渠三800*800，总长度30米，排水管长度40米，混凝土污水检查井2座。</t>
  </si>
  <si>
    <t>584户（脱贫户41户）</t>
  </si>
  <si>
    <t>2677人（脱贫人口80人）</t>
  </si>
  <si>
    <t>马楼乡董庄村蛋鸭养殖项目</t>
  </si>
  <si>
    <t>董庄村</t>
  </si>
  <si>
    <t>新建养鸭棚7座，其中长37米，宽12米5座；长40米1座，宽12米；长47米1座，宽12米。管理用房1座长17.5米，宽5.5米，仓库1座长35米，宽10米。及附属配套设施。</t>
  </si>
  <si>
    <t>142户（脱贫户15户）</t>
  </si>
  <si>
    <t>615人（脱贫人口36人）</t>
  </si>
  <si>
    <t>马楼乡山岔口村柏油路建设项目</t>
  </si>
  <si>
    <t>山岔口村</t>
  </si>
  <si>
    <t>沥青道路3米宽道路长746米，4米宽道路47米，厚0.05米</t>
  </si>
  <si>
    <t>470户（脱贫户79户）</t>
  </si>
  <si>
    <t>1887人（脱贫人口176人）</t>
  </si>
  <si>
    <t>四棵树乡代坪村民宿建设项目</t>
  </si>
  <si>
    <t xml:space="preserve">①10X30米大厅②3.6x7米 一室一卫+3.6X3米露台。共计三套③ 4 X8米小二层：－楼4x8米一室一厅一厨一卫二楼：4x5米一室一卫十4X3米露台。共计二套 </t>
  </si>
  <si>
    <t>588户（脱贫户93户）</t>
  </si>
  <si>
    <t>2173人（脱贫人口209人）</t>
  </si>
  <si>
    <t>赵村镇中汤村阳光房建设项目</t>
  </si>
  <si>
    <t>中汤村</t>
  </si>
  <si>
    <t>新建钢结构阳光房一座：长40米，宽27.5米，屋檐高6米。</t>
  </si>
  <si>
    <t>426户（脱贫户70户）</t>
  </si>
  <si>
    <t>2443人（脱贫人口
200人）</t>
  </si>
  <si>
    <t>张店乡王湾村饲料加工设备采购项目</t>
  </si>
  <si>
    <t>王湾村</t>
  </si>
  <si>
    <t>9KLH-350型高档颗粒饲料生产线:1、原料接收及地磅称重系统；2、粉碎系统；3、配料混合系统；4、制粒冷却系统；5、电路及控制系统；6、蒸汽添加及压缩系统；7、土建制作及设备安装</t>
  </si>
  <si>
    <t>614户（脱贫户70户）</t>
  </si>
  <si>
    <t>2721人（脱贫人口187人）</t>
  </si>
  <si>
    <t>第十二批</t>
  </si>
  <si>
    <t>鲁山县2024年采购新型太空舱舱体</t>
  </si>
  <si>
    <t>县文广旅游局</t>
  </si>
  <si>
    <t>采购新型太空舱55座</t>
  </si>
  <si>
    <t>平财预〔2024〕342号</t>
  </si>
  <si>
    <t>4651户（脱贫户216户）</t>
  </si>
  <si>
    <t>18643人（脱贫人口798人）</t>
  </si>
  <si>
    <t>鲁山县2024年雨露计划职业教育培训补贴（二期）1</t>
  </si>
  <si>
    <t>拟补助3071人，每人补助1500元。</t>
  </si>
  <si>
    <t>脱贫人口3071人</t>
  </si>
  <si>
    <t>鲁山县2024年雨露计划职业教育培训补贴（二期）2</t>
  </si>
  <si>
    <t>鲁山县2024年雨露计划职业教育培训补贴（二期）3</t>
  </si>
  <si>
    <t>鲁山县2024年雨露计划职业教育培训补贴（二期）4</t>
  </si>
  <si>
    <t>鲁山县2024年雨露计划职业教育培训补贴（二期）5</t>
  </si>
  <si>
    <t>鲁山县2024年雨露计划职业教育培训补贴（二期）6</t>
  </si>
  <si>
    <t>鲁山县2024年雨露计划职业教育培训补贴（二期）7</t>
  </si>
  <si>
    <t>熊背乡南子营村养殖业项目</t>
  </si>
  <si>
    <t>南子营村</t>
  </si>
  <si>
    <t>鸡舍2栋及配套设施，鸡舍（单栋）长105m，宽15米，檐高7.6m，建筑面积约1575m2。</t>
  </si>
  <si>
    <t>335户（脱贫户20户）</t>
  </si>
  <si>
    <t>1500人（脱贫人口49人）</t>
  </si>
  <si>
    <t>背孜乡背孜村香菇大棚配套灌溉建设项目</t>
  </si>
  <si>
    <t>背孜村</t>
  </si>
  <si>
    <t>新建机井两眼，机井1深24米，宽2.5米，机井2深15米，宽2.5米及配套设施</t>
  </si>
  <si>
    <t>756户（脱贫户254户）</t>
  </si>
  <si>
    <t>2789人（脱贫人口1022人）</t>
  </si>
  <si>
    <t>土门办事处土门村、老林村、武家庄村、构树庄村、叶坪村、庙庄村食用菌大棚灌溉井建设项目</t>
  </si>
  <si>
    <t>土门村、老林村、武家庄村、构树庄村、叶坪村、庙庄村</t>
  </si>
  <si>
    <t>1号井300米；2号井260米；3号井260米；4号井260米；5号井250米；6号井230米；及无塔供水器等配套设施。</t>
  </si>
  <si>
    <t>1568户（脱贫户265户）</t>
  </si>
  <si>
    <t>5976人（脱贫人口563人）</t>
  </si>
  <si>
    <t>瓦屋镇刺坡岭村道路及护堰建设项目</t>
  </si>
  <si>
    <t>刺坡岭村</t>
  </si>
  <si>
    <t>新建20cm厚C25混凝土道路6条，总长608米，宽度2.5-4米，新建浆砌石护堰九处，总长598米，高度1m-3米，排水渠长34米</t>
  </si>
  <si>
    <t>306户（脱贫户61户）</t>
  </si>
  <si>
    <t>1183人（脱贫人口175人）</t>
  </si>
  <si>
    <t>张官营镇坡寺村内道路建设项目</t>
  </si>
  <si>
    <t>坡寺村</t>
  </si>
  <si>
    <t>1、新建C25混凝土道路长2076米，宽3米，厚15cm。2、新建DN600混凝土管排水沟160米。</t>
  </si>
  <si>
    <t>457户（脱贫户50户）</t>
  </si>
  <si>
    <t>2136人（脱贫人口108人）</t>
  </si>
  <si>
    <t>下汤镇新街社区少数民族聚集区温泉民宿项目1</t>
  </si>
  <si>
    <t>民宗局</t>
  </si>
  <si>
    <t>新街社区</t>
  </si>
  <si>
    <t>改造建筑726平方米，水、电及配套设施等工程。</t>
  </si>
  <si>
    <t xml:space="preserve">豫财农综〔2023〕33号
</t>
  </si>
  <si>
    <t>680户</t>
  </si>
  <si>
    <t>2683人</t>
  </si>
  <si>
    <t>下汤镇新街社区少数民族聚集区温泉民宿项目2</t>
  </si>
  <si>
    <t>库区乡张湾村蝎子养殖加工项目</t>
  </si>
  <si>
    <t>张湾村</t>
  </si>
  <si>
    <t>新建框架结构厂房，长32米，宽31.4米，总建筑面积1004.8平方米，消防高度4.75米；包含洁净车间、保鲜库、消毒间、包装间</t>
  </si>
  <si>
    <t>370户（脱贫户34户）</t>
  </si>
  <si>
    <t>1607人（脱贫人口120人）</t>
  </si>
  <si>
    <t>尧山镇霍庄村基础设施项目</t>
  </si>
  <si>
    <t>霍庄村</t>
  </si>
  <si>
    <t>1、新建20cm厚c25混凝土道路三条，共342米长，宽3-4.5米；2、新建挡墙8处，长度共544米（台阶一处）；3、新建φ1000圆形混凝土污水检查井7座，双壁波纹管300米，30立方米化粪池1座；4、新建平板桥三座。</t>
  </si>
  <si>
    <t>117户（脱贫户8户）</t>
  </si>
  <si>
    <t>471人（脱贫人口18人）</t>
  </si>
  <si>
    <t>尧山镇上坪村饮水井及管网项目</t>
  </si>
  <si>
    <t>上坪村</t>
  </si>
  <si>
    <t>新建机井一眼深240m，10T无塔一座，给水主管直径25-75PE管长1083.4m，水表井9座，及配套设施</t>
  </si>
  <si>
    <t>223户（脱贫户32户）</t>
  </si>
  <si>
    <t>745人（脱贫人口55人）</t>
  </si>
  <si>
    <t>尧山镇四道河村截流坝产业项目</t>
  </si>
  <si>
    <t>四道河村</t>
  </si>
  <si>
    <t>新建截流坝4道，1号坝长25米，高8.5米；2号坝长18米，高3米；3号坝长15米，高3米；5号坝长15米，高3米。</t>
  </si>
  <si>
    <t>486户（脱贫户55户）</t>
  </si>
  <si>
    <t>1749人（脱贫人口124人）</t>
  </si>
  <si>
    <t>第十三批</t>
  </si>
  <si>
    <t>张官营镇榆树湾村道路建设项目</t>
  </si>
  <si>
    <t>榆树湾村</t>
  </si>
  <si>
    <t>新建C25混凝土道路长4157米，其中均宽3米道路长3780米，厚度为0.15米；均宽4米道路长377米，厚度为0.18米。</t>
  </si>
  <si>
    <t>259户（脱贫户22户）</t>
  </si>
  <si>
    <t>1169人（脱贫人口43人）</t>
  </si>
  <si>
    <t>背孜乡柳树岭村中药材加工车间及配套设施项目</t>
  </si>
  <si>
    <t>柳树岭村</t>
  </si>
  <si>
    <t>新建钢结构厂房一座15米*30米，厂棚一座15米*10米，2米宽6米深大口井一眼及管道、设备等配套设施，硬化路面485平方米</t>
  </si>
  <si>
    <t>370户（脱贫户140户）</t>
  </si>
  <si>
    <t>1357人（脱贫人口490人）</t>
  </si>
  <si>
    <t>背孜乡柳树岭村橡子晾晒加工场项目</t>
  </si>
  <si>
    <t>新建厂房一座，长20.68米，宽15.68米，及配套设施。</t>
  </si>
  <si>
    <t>熊背乡茶庵村蜂蜜加工厂房建设项目</t>
  </si>
  <si>
    <t>上下三层钢构厂房，单层长42米，宽9.5米及配套设施</t>
  </si>
  <si>
    <t>尧山镇尧山村香菇大棚项目</t>
  </si>
  <si>
    <t>尧山村</t>
  </si>
  <si>
    <t>1、新建6米宽，40米长出菇棚12座；6米宽，40米长养菌棚2座。工具房1座。2、新建水井1眼。3、配套安装水泵1台。4、新建15T无塔1座5、新立线杆5根，配套安装横担6套，低压拉线2套。6、架设钢芯包皮铝铰线，长度4×260米。7、新建过路涵1处，铺筑4m宽200mm厚C25混凝土道路，长度160米。8、管线埋设总长度135米。</t>
  </si>
  <si>
    <t>464户（脱贫户43户）</t>
  </si>
  <si>
    <t>1331人（脱贫人口86人）</t>
  </si>
  <si>
    <t>尧山镇下沟村鸡舍及配套设施项目</t>
  </si>
  <si>
    <t>下沟村</t>
  </si>
  <si>
    <t>1.新建鸡舍一座，长95米，宽15米；2、新建料房、库房一处，长25米，宽10米；3、新建恒温蛋库一座，长10米，宽8米；4、深水井一口，深100米，水泵，电缆；5、50千瓦发电机组；6、道路硬化长400米，宽4米；7、电网改造400米。等配套设施。</t>
  </si>
  <si>
    <t>120户(脱贫户13户)</t>
  </si>
  <si>
    <t>523人(中脱贫人口43人）</t>
  </si>
  <si>
    <t>团城乡五道庙村蛋鸭养殖及配套项目</t>
  </si>
  <si>
    <t>五道庙村</t>
  </si>
  <si>
    <t>新建钢架结构鸭舍三栋，每栋长96米，宽18米；及养殖笼、水、电等配套设施。</t>
  </si>
  <si>
    <t>282户（脱贫户66户）</t>
  </si>
  <si>
    <t>972人（脱贫人口215人）</t>
  </si>
  <si>
    <t>库区乡张湾村览涛圣境民宿小院建设项目</t>
  </si>
  <si>
    <t>集成房两层共400平方米，餐屋5座共60平方米，塑木平台100平方米，院墙200米</t>
  </si>
  <si>
    <t>四棵树乡土楼村民宿项目</t>
  </si>
  <si>
    <t>土楼村</t>
  </si>
  <si>
    <t>新建2层民宿一座，占地面积180.17平方米，总建筑面积310.40平方米，其中一层建筑面积180.17平方米，二层建筑面积130.23平方米。</t>
  </si>
  <si>
    <t>136户（脱贫户56户）</t>
  </si>
  <si>
    <t>543人（脱贫人口269人）</t>
  </si>
  <si>
    <t>四棵树乡柴沟村老学校改造民宿项目</t>
  </si>
  <si>
    <t>柴沟村</t>
  </si>
  <si>
    <t>原有建筑改造；室外地坪硬化，新建大门及围墙；凉棚2套及配套设施等。</t>
  </si>
  <si>
    <t>440户（脱贫户95户）</t>
  </si>
  <si>
    <t>1760人（脱贫人口280人）</t>
  </si>
  <si>
    <t>瓦屋镇土桥村智能移动菇房建设项目</t>
  </si>
  <si>
    <t>6m*8m智能移动菇房20个，配套地面硬化15cm厚面积1245m2;地面硬化20cm厚面积1626m2。</t>
  </si>
  <si>
    <t>722户（脱贫户245户）</t>
  </si>
  <si>
    <t>2578人（脱贫人口973人）</t>
  </si>
  <si>
    <t>张良镇余庄村村内道路建设项目</t>
  </si>
  <si>
    <t>余庄</t>
  </si>
  <si>
    <t>新建沥青混凝土道路长1029米，其中均宽4.5米沥青混凝土道路长800米，均宽4米沥青混凝土道路长117米，均宽3.5米沥青混凝土道路长112米，厚度均为5cm。</t>
  </si>
  <si>
    <t>403户（脱贫户21户）</t>
  </si>
  <si>
    <t>1709人（脱贫人口37人）</t>
  </si>
  <si>
    <t>马楼乡马塘庄村污水整治项目</t>
  </si>
  <si>
    <t>马塘庄村</t>
  </si>
  <si>
    <t>1.2内径的混凝土排水管70米，检查井2座，挡墙10米</t>
  </si>
  <si>
    <t>503户（脱贫户29户）</t>
  </si>
  <si>
    <t>2200人（脱贫人口60人）</t>
  </si>
  <si>
    <t>观音寺乡太平保村养菌房建设项目</t>
  </si>
  <si>
    <t>新建连栋养菌房5座，面积合计2232平方米，高度4.5米，养菌房安装新风系统、制冷系统及菌架。建设钢结构菌房配套外棚，宽度38米，长度70米，高度7.5米。场区建设混凝土排水渠，宽度1米，深度0.8米，长度300米。</t>
  </si>
  <si>
    <t>董周乡何家庄村蓝莓园产业项目</t>
  </si>
  <si>
    <t>何家庄村</t>
  </si>
  <si>
    <t>新建厂房及冷库一座，长34.8m，宽25米，新建院内地面硬化面积916m2，厚20cm，强度C25，新建管护房一座，及配套附属设施</t>
  </si>
  <si>
    <t>246户（脱贫户39户）</t>
  </si>
  <si>
    <t>1076人（脱贫人口102人）</t>
  </si>
  <si>
    <t>仓头乡赵竹园村中成药基地灌溉项目</t>
  </si>
  <si>
    <t>赵竹园村</t>
  </si>
  <si>
    <t>新建深320米机井2眼，深300米机井1眼，深280米机井1眼及相关配套设施；新建长9670*宽6760*深3300mm蓄水池3座。</t>
  </si>
  <si>
    <t>270户（脱贫户41户）</t>
  </si>
  <si>
    <t>1385人（脱贫人口100人）</t>
  </si>
  <si>
    <t>仓头乡刘河村农家乐建设项目</t>
  </si>
  <si>
    <t>刘河村</t>
  </si>
  <si>
    <t>新建10座，其中长8.4米，宽3.9米4栋；长9.6米，宽4.5米4栋；长9.6米，宽5.4米2栋。餐厅一座长12.6米，宽4.5米及配套设施</t>
  </si>
  <si>
    <t>556户（脱贫户298户）</t>
  </si>
  <si>
    <t>2230人（脱贫人口1117人）</t>
  </si>
  <si>
    <t>赵村镇东坪村道路建设项目</t>
  </si>
  <si>
    <t>1、新建沥青道路共5条，共计1700米，其中东坪组715米，岭南组285米，黄庄组200米，杏树园组500米，5cm厚细粒式沥青混凝土；2、新建混凝土道路4条，共计628米，其中黄庄组长85米，宽4.5米，厚0.18米；杏树园组长360米，宽3米，厚0.15米；瓦房庄组道路1长78米，道路2长105米，宽3米，厚0.15米。3、杏树园组修建漫水桥1处。</t>
  </si>
  <si>
    <t>琴台街道宗庄社区木耳加工车间、仓储厂房及配套设备建设项目</t>
  </si>
  <si>
    <t>琴台街道</t>
  </si>
  <si>
    <t>宗庄社区</t>
  </si>
  <si>
    <t>新建一层钢构厂房1座，建筑面积2063.2平方米，总长度107.8米，建筑总高10.8米。厂房门口铺筑200mm厚C25混凝土地坪428.5平方米。配套埋设雨、污管道。</t>
  </si>
  <si>
    <t>474户（脱贫户15户）</t>
  </si>
  <si>
    <t>2159人（脱贫人口41人）</t>
  </si>
  <si>
    <t>第十四批</t>
  </si>
  <si>
    <t>鲁山县2024年农村低收入群体就业和发展产业扶持奖补资金（人社局）1</t>
  </si>
  <si>
    <t>跨省就业补助</t>
  </si>
  <si>
    <t>(一)交通补。对外出务工6个月以上、年收入达到1.5万元以上的奖补对象给予一次性交通补贴。对乡外、县内务工的奖补对象每年补助200元；县外、省内务工的奖补对象每年补助300元；省外务工的奖补对象每年补助600元。11800人(二)务工奖。鼓励有劳动能力、有专业技能的“三类户”劳动力通过务工就业增加收入，务工收入在5000元(含5000元)以上的，按务工收入的5%进行奖补。1336人</t>
  </si>
  <si>
    <t>13136人</t>
  </si>
  <si>
    <t>鲁山县2024年农村低收入群体就业和发展产业扶持奖补资金二期（人社局）</t>
  </si>
  <si>
    <t>(一)交通补。对外出务工6个月以上、年收入达到1.5万元以上的奖补对象给予一次性交通补贴。对乡外、县内务工的奖补对象每年补助200元；县外、省内务工的奖补对象每年补助300元；省外务工的奖补对象每年补助600元。949人(二)务工奖。鼓励有劳动能力、有专业技能的“三类户”劳动力通过务工就业增加收入，务工收入在5000元(含5000元)以上的，按务工收入的5%进行奖补。62人</t>
  </si>
  <si>
    <t>958人</t>
  </si>
  <si>
    <t>鲁山县2024年公益岗位工资补助（住建局保洁员四期）</t>
  </si>
  <si>
    <t>1425人</t>
  </si>
  <si>
    <t>鲁山县2024年小额信贷贴息（三期）1</t>
  </si>
  <si>
    <t>458户</t>
  </si>
  <si>
    <t>鲁山县2024年小额信贷贴息（三期）2</t>
  </si>
  <si>
    <t>平财预〔2024〕343号</t>
  </si>
  <si>
    <t>鲁山县2024年农村低收入群体就业和发展产业扶持奖补资金（农业农村局）1</t>
  </si>
  <si>
    <t>凡从事食用菌、经济作物、中药材种植、养殖家禽、养殖家畜的脱贫户和“三类户”给予奖补；其中种植户11866户，1923.7147万元；养殖户4253户，846.4555万元。</t>
  </si>
  <si>
    <t>16118户</t>
  </si>
  <si>
    <t>豫财农综〔2024〕18号</t>
  </si>
  <si>
    <t>鲁山县2024年农村低收入群体就业和发展产业扶持奖补（工信局）</t>
  </si>
  <si>
    <t>县域内凡从事丝棉加工、皮件加工、饰品加工等手工业、加工业实现增收的实施对象，经验收合格的，每年纯收入在5000元(含5000元)以上，按纯收入的5%,每年奖补1次。</t>
  </si>
  <si>
    <t>2户</t>
  </si>
  <si>
    <t>鲁山县2024年农村低收入群体就业和发展产业扶持奖补（蚕业局）</t>
  </si>
  <si>
    <t>县蚕业局</t>
  </si>
  <si>
    <t>按照每公斤蚕卵奖补1000元的标准，奖补11户</t>
  </si>
  <si>
    <t>14户</t>
  </si>
  <si>
    <t>鲁山县2024年农村低收入群体就业和发展产业扶持奖补资金（乡村振兴局户用收益奖补）</t>
  </si>
  <si>
    <t>按“运维高效、精心管护”的要求，激励脱贫户加强到户类扶贫项目资产后续管理，对户用光优年发电量在5000度(含)以上，按年发电总收益的12%进行奖补；年发电量在5000度以下，按年发电总收益的10%进行奖补。</t>
  </si>
  <si>
    <t>2094户</t>
  </si>
  <si>
    <t>鲁山县2024年农村低收入群体就业和发展产业扶持奖补资金（乡村振兴局其他家庭增收）1</t>
  </si>
  <si>
    <t>通过自我发展实现家庭增收的其他项目(除去可向农业农村局、林业局、旅游局、工信局、商务局、人社局等行业单位申报以外的增收项目),经验收合格的，每年纯收入在5000元(含5000元)以上，按纯收入的5%进行奖补。</t>
  </si>
  <si>
    <t>933户</t>
  </si>
  <si>
    <t>鲁山县2024年农村低收入群体就业和发展产业扶持奖补资金（乡村振兴局其他家庭增收）2</t>
  </si>
  <si>
    <t>鲁山县2024年农村低收入群体就业和发展产业扶持奖补资金（乡村振兴局其他家庭增收）3</t>
  </si>
  <si>
    <t>第十五批</t>
  </si>
  <si>
    <t>四棵树乡合庄村智慧方舱食用菌项目</t>
  </si>
  <si>
    <t>合庄村</t>
  </si>
  <si>
    <t>15个食用菌方仓,每座长12米，宽3米，高3米</t>
  </si>
  <si>
    <t>346户（脱贫户69户）</t>
  </si>
  <si>
    <t>1363人（脱贫人口210人）</t>
  </si>
  <si>
    <t>仓头乡井庄村果蔬烘干加工配套设施项目</t>
  </si>
  <si>
    <t>井庄村</t>
  </si>
  <si>
    <t>新建生产车间1座，宽度24.8米，长度48.8米，内部安装80平方米保鲜库1座和80平方米冷藏库1座；新建烘干房1座，宽度10.8米，长度30.8米；砌筑挡土墙140米，铺筑200mm厚C25混凝土院内地坪850平方米；及其水电配套。</t>
  </si>
  <si>
    <t>256户（脱贫户23户）</t>
  </si>
  <si>
    <t>1080人（脱贫人口70人）</t>
  </si>
  <si>
    <t>仓头乡白窑村产业路建设项目</t>
  </si>
  <si>
    <t>白窑村</t>
  </si>
  <si>
    <t>新建C25混凝土道路10条，长度合计910米。其中4.5米宽道路5条，长度合计646米，4.0米宽道路1条，长度100米，2.5米宽道路4条，长度合计164米；新建停车区2处合计510平方米；新建排水渠8条，长度合计617米；新建过路涵4处。</t>
  </si>
  <si>
    <t>199户（脱贫户47户）</t>
  </si>
  <si>
    <t>856人（脱贫人口118人）</t>
  </si>
  <si>
    <t>仓头乡香菇大棚修缮维护建设项目</t>
  </si>
  <si>
    <t>井庄村、孙湾村、下仓头村、刘芳庄村</t>
  </si>
  <si>
    <t>四座香菇基地125座香菇大棚进行维修整理，加固整理所有菌架，更换损坏及老化棚膜、遮阳网、阀门、压膜槽等</t>
  </si>
  <si>
    <t>1166户（脱贫户144户）</t>
  </si>
  <si>
    <t>4925人(脱贫人口375人)</t>
  </si>
  <si>
    <t>董周乡西高村梨筐加工厂建设项目</t>
  </si>
  <si>
    <t>西高村</t>
  </si>
  <si>
    <t>新建梨筐加工厂一座宽18米，长60米；梨框加工设备一套，配套设备。</t>
  </si>
  <si>
    <t>446户（脱贫户51户）</t>
  </si>
  <si>
    <t>2022人（脱贫人口163人）</t>
  </si>
  <si>
    <t>库区乡张湾村民宿集群产业配套项目</t>
  </si>
  <si>
    <t>1、新建机井1深300米，φ63*5.8PE管长870米及相关配套设施。2、新建机井2深200米，φ65*4镀锌钢管长3470米及相关配套设施。</t>
  </si>
  <si>
    <t>库区乡桐树庄村鹌鹑厂配套建设项目</t>
  </si>
  <si>
    <t>新建锅炉房1座，长25.8米，宽12.8米；新建库房1座，长30.7米，宽6.9米；新建围墙155米，新建大门1座，铺筑150mm厚C25混凝土地坪，面积合计2880平方米；铺筑200mm厚C25混凝土道路，宽度4米，长度17米；布置场内雨污管道；为原有厂房布置电路及照明系统。</t>
  </si>
  <si>
    <t>756人（脱贫人口123人）</t>
  </si>
  <si>
    <t>熊背乡南子营村养鸡场建设项目（二期）</t>
  </si>
  <si>
    <t>鸡舍一座，长105米，宽15米；蛋库1座，长115米，宽20米；及配套设施</t>
  </si>
  <si>
    <t>352户（脱贫户124户）</t>
  </si>
  <si>
    <t>1300人（脱贫人口462人）</t>
  </si>
  <si>
    <t>马楼乡苏庄村污水管网建设项目</t>
  </si>
  <si>
    <t>苏庄村</t>
  </si>
  <si>
    <t>新建Φ400mm涵管长467米，新建Φ600mm涵管长598米；新建均宽1米透水砖道路长329米。</t>
  </si>
  <si>
    <t>274户（脱贫户16户）</t>
  </si>
  <si>
    <t>1144人（脱贫人口36人）</t>
  </si>
  <si>
    <t>鲁山县2024年农村低收入群体就业和发展产业扶持奖补资金（林业局）</t>
  </si>
  <si>
    <t>从事经济林、用材林、花卉苗木种植的脱贫户和“三类户”给予奖补</t>
  </si>
  <si>
    <t>141户</t>
  </si>
  <si>
    <t>鲁山县2024年农村低收入群体就业和发展产业扶持奖补资金（农业农村局二期）</t>
  </si>
  <si>
    <t>凡从事食用菌、经济作物、中药材种植、养殖家禽、养殖家畜的脱贫户和“三类户”给予奖补；其中种植户30户，4.54万元；养殖户332户，66.206万元。</t>
  </si>
  <si>
    <t>362户</t>
  </si>
  <si>
    <t>鲁山县2024年公益岗位工资补助（住建局保洁员五期）</t>
  </si>
  <si>
    <t>1427人</t>
  </si>
  <si>
    <t>鲁山县2024年项目设计费、监理费及管理费1</t>
  </si>
  <si>
    <t>设计费10.4003万元、管理费6.9335万元、监理费10.4003万元</t>
  </si>
  <si>
    <t>加强项目管理，提升资金使用效益，确保全县项目有序实施</t>
  </si>
  <si>
    <t>鲁山县2024年项目设计费、监理费及管理费2</t>
  </si>
  <si>
    <t>项目管理费</t>
  </si>
  <si>
    <t>设计费13.7937万元、管理费9.1958万元、监理费13.7937万元</t>
  </si>
  <si>
    <t>鲁山县2024年项目设计费、监理费及管理费3</t>
  </si>
  <si>
    <t>设计费29.034万元、管理费19.356万元、监理费29.034万元</t>
  </si>
  <si>
    <t>鲁山县2024年项目设计费、监理费及管理费4</t>
  </si>
  <si>
    <t>设计费20.6239万元、管理费13.7492万元、监理费14.7443万元</t>
  </si>
  <si>
    <t>鲁山县2024年项目设计费、监理费及管理费5</t>
  </si>
  <si>
    <t>设计费9.7758万元、管理费6.5172万元、监理费7.2258万元</t>
  </si>
  <si>
    <t>鲁山县2024年项目设计费、监理费及管理费7</t>
  </si>
  <si>
    <t>设计费17.7601万元、管理费11.8401万元、监理费17.7601万元</t>
  </si>
  <si>
    <t>鲁山县2024年项目设计费、监理费及管理费8</t>
  </si>
  <si>
    <t>设计费1.3308万元、管理费0.8872万元、监理费1.3308万元</t>
  </si>
  <si>
    <t>鲁山县2024年项目设计费、监理费及管理费9</t>
  </si>
  <si>
    <t>设计费7.1234万元、管理费4.7489万元、监理费7.12345万元</t>
  </si>
  <si>
    <t>鲁山县2024年项目设计费、监理费及管理费10</t>
  </si>
  <si>
    <t>设计费4.9228万元、管理费3.2818万元、监理费4.9228万元</t>
  </si>
  <si>
    <t>鲁山县2024年项目设计费、监理费及管理费11</t>
  </si>
  <si>
    <t>设计费2.2944万元、管理费1.5296万元、监理费2.2944万元</t>
  </si>
  <si>
    <t>鲁山县2024年项目设计费、监理费及管理费12</t>
  </si>
  <si>
    <t>设计费19.7502万元、管理费13.1668万元、监理费15.5502万元</t>
  </si>
  <si>
    <t>鲁山县2024年项目设计费、监理费及管理费13</t>
  </si>
  <si>
    <t>设计费4.6035万元、管理费3.069万元、监理费4.6035万元</t>
  </si>
  <si>
    <t>鲁山县2024年项目设计费、监理费及管理费14</t>
  </si>
  <si>
    <t>设计费9.9995万元、管理费6.6663万元、监理费9.9995万元</t>
  </si>
  <si>
    <t>鲁山县2024年项目设计费、监理费及管理费15</t>
  </si>
  <si>
    <t>设计费17.423万元、管理费11.6153万元、监理费12.3934万元</t>
  </si>
  <si>
    <t>鲁山县2024年项目设计费、监理费及管理费16</t>
  </si>
  <si>
    <t>设计费8.4993万元、管理费5.6662万元、监理费4.6702万元</t>
  </si>
  <si>
    <t>鲁山县2024年项目设计费、监理费及管理费17</t>
  </si>
  <si>
    <t>设计费1.4513万元、管理费0.9675万元、监理费1.45135万元</t>
  </si>
  <si>
    <t>鲁山县2024年项目设计费、监理费及管理费18</t>
  </si>
  <si>
    <t>设计费20.5728万元、管理费13.7152万元、监理费20.5728万元</t>
  </si>
  <si>
    <t>鲁山县2024年项目设计费、监理费及管理费19</t>
  </si>
  <si>
    <t>设计费41.2954万元、管理费27.5302万元、监理费41.2954万元</t>
  </si>
  <si>
    <t>鲁山县2024年项目设计费、监理费及管理费20</t>
  </si>
  <si>
    <t>设计费9.6827万元、管理费6.4551万元、监理费2.8127万元</t>
  </si>
  <si>
    <t>鲁山县2024年项目设计费、监理费及管理费21</t>
  </si>
  <si>
    <t>设计费3.3028万元、管理费2.2018万元、监理费3.3028万元</t>
  </si>
  <si>
    <t>鲁山县2024年项目设计费、监理费及管理费22</t>
  </si>
  <si>
    <t>设计费23.4302万元、管理费15.6201万元、监理费23.4302万元</t>
  </si>
  <si>
    <t>鲁山县2024年项目设计费、监理费及管理费23</t>
  </si>
  <si>
    <t>设计费15.1849万元、管理费10.1233万元、监理费15.1849万元</t>
  </si>
  <si>
    <t>第十六批</t>
  </si>
  <si>
    <t>鲁山县2024年公益岗位工资补助（政法委治安巡逻员三期）1</t>
  </si>
  <si>
    <t>豫财农综〔2023〕31号万元</t>
  </si>
  <si>
    <t>306人</t>
  </si>
  <si>
    <t>鲁山县2024年公益岗位工资补助（政法委治安巡逻员三期）2</t>
  </si>
  <si>
    <t>鲁山县2024年公益岗位工资补助（政法委治安巡逻员三期）3</t>
  </si>
  <si>
    <t>鲁山县2024年公益岗位工资补助（政法委治安巡逻员三期）4</t>
  </si>
  <si>
    <t>鲁山县2024年公益岗位工资补助（政法委治安巡逻员三期）5</t>
  </si>
  <si>
    <t>鲁山县2024年公益岗位工资补助（政法委治安巡逻员三期）6</t>
  </si>
  <si>
    <t>鲁山县2024年公益岗位工资补助（政法委治安巡逻员三期）7</t>
  </si>
  <si>
    <t>第十七批</t>
  </si>
  <si>
    <t>鲁山县2024年县派第一书记驻村专项经费（补发）</t>
  </si>
  <si>
    <t>鲁山县2024年县派第一书记驻村专项经费</t>
  </si>
  <si>
    <t>鲁山县2024年项目设计费、监理费及管理费（追加资金）</t>
  </si>
  <si>
    <t>鲁山县2024年项目设计费、监理费及管理费</t>
  </si>
  <si>
    <t>鲁山县2024年农村低收入群体就业和发展产业扶持奖补资金三期（人社局）</t>
  </si>
  <si>
    <t>(一)交通补。对外出务工6个月以上、年收入达到1.5万元以上的奖补对象给予一次性交通补贴。对乡外、县内务工的奖补对象每年补助200元；县外、省内务工的奖补对象每年补助300元；省外务工的奖补对象每年补助600元。1244人(二)务工奖。鼓励有劳动能力、有专业技能的“三类户”劳动力通过务工就业增加收入，务工收入在5000元(含5000元)以上的，按务工收入的5%进行奖补。74人</t>
  </si>
  <si>
    <t>1261人</t>
  </si>
  <si>
    <t>鲁山县2024年农村低收入群体就业和发展产业扶持奖补资金（农业农村局三期）</t>
  </si>
  <si>
    <t>凡从事食用菌、经济作物、中药材种植、养殖家禽、养殖家畜的脱贫户和“三类户”给予奖补；其中种植户4户，0.795万元；养殖户4户，0.945万元。</t>
  </si>
  <si>
    <t>8人</t>
  </si>
  <si>
    <t>鲁山县2024年公益岗位工资补助（政法委治安巡逻员四期）</t>
  </si>
  <si>
    <t>301人</t>
  </si>
  <si>
    <t>鲁山县2024年公益岗位工资补助（河务局河道专管员四期）</t>
  </si>
  <si>
    <t>243人</t>
  </si>
  <si>
    <t>鲁山县2024年公益岗位工资补助（社保协管员四期）</t>
  </si>
  <si>
    <t>592人</t>
  </si>
  <si>
    <t>鲁山县2024年小额信贷贴息（四期）1</t>
  </si>
  <si>
    <t>2840户</t>
  </si>
  <si>
    <t>通过小额贴息项目的实施，激发三类户自我发展的内生动力，达到家庭增收的目标。</t>
  </si>
  <si>
    <t>鲁山县2024年小额信贷贴息（四期）2</t>
  </si>
  <si>
    <t>鲁山县2024年小额信贷贴息（四期）3</t>
  </si>
  <si>
    <t>鲁山县2024年小额信贷贴息（四期）4</t>
  </si>
  <si>
    <t>鲁山县2024年小额信贷贴息（四期）5</t>
  </si>
  <si>
    <t>鲁山县2024年小额信贷贴息（四期）6</t>
  </si>
  <si>
    <t>鲁山县2024年小额信贷贴息（四期）7</t>
  </si>
  <si>
    <t>鲁山县2024年小额信贷贴息（四期）8</t>
  </si>
  <si>
    <t>鲁山县2024年公益岗位工资补助（住建局保洁员六期）</t>
  </si>
  <si>
    <t>1434人</t>
  </si>
  <si>
    <t>鲁山县2024年公益岗位工资补助（县乡村振兴局四期）</t>
  </si>
  <si>
    <t>1323人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</si>
</sst>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00_ "/>
  </numFmts>
  <fonts count="28">
    <font>
      <sz val="11"/>
      <color indexed="8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9"/>
      <name val="黑体"/>
      <charset val="134"/>
    </font>
    <font>
      <sz val="11"/>
      <name val="仿宋"/>
      <charset val="134"/>
    </font>
    <font>
      <sz val="9"/>
      <name val="SimSun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9"/>
      <name val="Times New Roman"/>
      <charset val="134"/>
    </font>
    <font>
      <sz val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54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>
      <alignment vertical="center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11 2 2 3" xfId="50"/>
    <cellStyle name="常规 2" xfId="51"/>
    <cellStyle name="常规 4" xfId="52"/>
    <cellStyle name="常规 3" xfId="53"/>
    <cellStyle name="常规 13" xfId="54"/>
    <cellStyle name="常规_Sheet1" xfId="55"/>
  </cellStyles>
  <dxfs count="19">
    <dxf>
      <font>
        <b val="0"/>
        <i val="0"/>
        <color indexed="17"/>
      </font>
      <fill>
        <patternFill patternType="solid">
          <fgColor indexed="10"/>
          <bgColor indexed="42"/>
        </patternFill>
      </fill>
    </dxf>
    <dxf>
      <font>
        <b val="0"/>
        <i val="0"/>
        <color indexed="16"/>
      </font>
      <fill>
        <patternFill patternType="solid">
          <fgColor indexed="10"/>
          <bgColor indexed="45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1016;&#19990;&#26480;\&#20892;&#19994;\2020&#24180;\&#32479;&#31609;&#25972;&#21512;&#36164;&#37329;\&#25206;&#36139;&#21150;&#21488;&#36134;\&#26092;&#25253;6.11-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9lj3691r9o2522\FileStorage\File\2021-12\12.31--%20&#40065;&#23665;&#21439;2020&#24180;&#32479;&#31609;&#25972;&#21512;&#20351;&#29992;&#36130;&#25919;&#28041;&#20892;&#36164;&#37329;&#39033;&#30446;&#21488;&#36134;&#26126;&#32454;&#34920;(4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脱贫攻坚项目库建设情况表"/>
      <sheetName val="2-扶贫项目实施情况表"/>
      <sheetName val="拆分项目统计表"/>
      <sheetName val="项目分类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总表"/>
      <sheetName val="导出计数_列Q"/>
      <sheetName val="Sheet4"/>
      <sheetName val="季报上传表"/>
      <sheetName val="Sheet1"/>
      <sheetName val="周报"/>
      <sheetName val="扶贫资金投入支出统计表"/>
      <sheetName val="直达资金"/>
      <sheetName val="Sheet3"/>
      <sheetName val="Sheet2"/>
      <sheetName val="类别对照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>
              <a:alpha val="100000"/>
            </a:srgbClr>
          </a:solidFill>
          <a:prstDash val="solid"/>
          <a:round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U249"/>
  <sheetViews>
    <sheetView tabSelected="1" view="pageBreakPreview" zoomScale="85" zoomScaleNormal="100" workbookViewId="0">
      <pane ySplit="5" topLeftCell="A236" activePane="bottomLeft" state="frozen"/>
      <selection/>
      <selection pane="bottomLeft" activeCell="M241" sqref="M241"/>
    </sheetView>
  </sheetViews>
  <sheetFormatPr defaultColWidth="9" defaultRowHeight="13.5"/>
  <cols>
    <col min="1" max="1" width="6.13333333333333" style="3" customWidth="1"/>
    <col min="2" max="2" width="6.88333333333333" style="4" customWidth="1"/>
    <col min="3" max="3" width="26.25" style="3" customWidth="1"/>
    <col min="4" max="5" width="14" style="4" customWidth="1"/>
    <col min="6" max="8" width="9" style="4" customWidth="1"/>
    <col min="9" max="9" width="17.3416666666667" style="4" customWidth="1"/>
    <col min="10" max="11" width="11.75" style="4" customWidth="1"/>
    <col min="12" max="12" width="11.25" style="4" customWidth="1"/>
    <col min="13" max="13" width="17.25" style="4" customWidth="1"/>
    <col min="14" max="14" width="11.6166666666667" style="3" customWidth="1"/>
    <col min="15" max="15" width="12.2" style="3" customWidth="1"/>
    <col min="16" max="16" width="11.175" style="3" customWidth="1"/>
    <col min="17" max="17" width="10.725" style="3" customWidth="1"/>
    <col min="18" max="18" width="16.7333333333333" style="3" customWidth="1"/>
    <col min="19" max="20" width="12.1833333333333" style="4" customWidth="1"/>
    <col min="21" max="21" width="16.3" style="4" customWidth="1"/>
    <col min="22" max="16363" width="27.25" style="4"/>
    <col min="16364" max="16384" width="9" style="4"/>
  </cols>
  <sheetData>
    <row r="1" ht="24" customHeight="1" spans="1:2">
      <c r="A1" s="3" t="s">
        <v>0</v>
      </c>
      <c r="B1" s="3"/>
    </row>
    <row r="2" s="1" customFormat="1" ht="29.1" customHeight="1" spans="1:1">
      <c r="A2" s="1" t="s">
        <v>1</v>
      </c>
    </row>
    <row r="3" s="2" customFormat="1" ht="24.95" customHeight="1" spans="1:21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8" t="s">
        <v>11</v>
      </c>
      <c r="K3" s="5" t="s">
        <v>12</v>
      </c>
      <c r="L3" s="9" t="s">
        <v>13</v>
      </c>
      <c r="M3" s="5" t="s">
        <v>14</v>
      </c>
      <c r="N3" s="5" t="s">
        <v>12</v>
      </c>
      <c r="O3" s="5"/>
      <c r="P3" s="5"/>
      <c r="Q3" s="5"/>
      <c r="R3" s="13" t="s">
        <v>15</v>
      </c>
      <c r="S3" s="14" t="s">
        <v>16</v>
      </c>
      <c r="T3" s="14"/>
      <c r="U3" s="14" t="s">
        <v>17</v>
      </c>
    </row>
    <row r="4" s="2" customFormat="1" ht="24.95" customHeight="1" spans="1:21">
      <c r="A4" s="5"/>
      <c r="B4" s="5"/>
      <c r="C4" s="6"/>
      <c r="D4" s="5"/>
      <c r="E4" s="5"/>
      <c r="F4" s="5"/>
      <c r="G4" s="5"/>
      <c r="H4" s="5"/>
      <c r="I4" s="5"/>
      <c r="J4" s="8"/>
      <c r="K4" s="5"/>
      <c r="L4" s="9"/>
      <c r="M4" s="5"/>
      <c r="N4" s="8" t="s">
        <v>18</v>
      </c>
      <c r="O4" s="8" t="s">
        <v>19</v>
      </c>
      <c r="P4" s="8" t="s">
        <v>20</v>
      </c>
      <c r="Q4" s="8" t="s">
        <v>21</v>
      </c>
      <c r="R4" s="13" t="s">
        <v>22</v>
      </c>
      <c r="S4" s="14" t="s">
        <v>23</v>
      </c>
      <c r="T4" s="14" t="s">
        <v>24</v>
      </c>
      <c r="U4" s="14"/>
    </row>
    <row r="5" s="2" customFormat="1" ht="24.95" customHeight="1" spans="1:21">
      <c r="A5" s="5" t="s">
        <v>25</v>
      </c>
      <c r="B5" s="5"/>
      <c r="C5" s="5"/>
      <c r="D5" s="5"/>
      <c r="E5" s="5"/>
      <c r="F5" s="5"/>
      <c r="G5" s="5"/>
      <c r="H5" s="5"/>
      <c r="I5" s="5"/>
      <c r="J5" s="8"/>
      <c r="K5" s="5"/>
      <c r="L5" s="9"/>
      <c r="M5" s="7">
        <f>SUM(N5+O5+P5+Q5)</f>
        <v>32569</v>
      </c>
      <c r="N5" s="7">
        <f>SUM(N6:N882)</f>
        <v>12521</v>
      </c>
      <c r="O5" s="7">
        <f>SUM(O6:O882)</f>
        <v>4980</v>
      </c>
      <c r="P5" s="7">
        <f>SUM(P6:P882)</f>
        <v>7098</v>
      </c>
      <c r="Q5" s="7">
        <f>SUM(Q6:Q882)</f>
        <v>7970</v>
      </c>
      <c r="R5" s="7">
        <f>SUM(R6:R882)</f>
        <v>25873.994266</v>
      </c>
      <c r="S5" s="14"/>
      <c r="T5" s="14"/>
      <c r="U5" s="14"/>
    </row>
    <row r="6" ht="45" customHeight="1" spans="1:21">
      <c r="A6" s="5">
        <f>MAX($A$5:A5)+1</f>
        <v>1</v>
      </c>
      <c r="B6" s="7" t="s">
        <v>26</v>
      </c>
      <c r="C6" s="7" t="s">
        <v>27</v>
      </c>
      <c r="D6" s="7" t="s">
        <v>28</v>
      </c>
      <c r="E6" s="7" t="s">
        <v>29</v>
      </c>
      <c r="F6" s="7" t="s">
        <v>30</v>
      </c>
      <c r="G6" s="7" t="s">
        <v>30</v>
      </c>
      <c r="H6" s="7" t="s">
        <v>31</v>
      </c>
      <c r="I6" s="7" t="s">
        <v>32</v>
      </c>
      <c r="J6" s="7" t="s">
        <v>33</v>
      </c>
      <c r="K6" s="7" t="s">
        <v>34</v>
      </c>
      <c r="L6" s="10" t="s">
        <v>35</v>
      </c>
      <c r="M6" s="7">
        <f t="shared" ref="M6:M22" si="0">N6+O6+P6+Q6</f>
        <v>107.53</v>
      </c>
      <c r="N6" s="7">
        <v>107.53</v>
      </c>
      <c r="O6" s="7"/>
      <c r="P6" s="7"/>
      <c r="Q6" s="7"/>
      <c r="R6" s="7">
        <v>107.53</v>
      </c>
      <c r="S6" s="10"/>
      <c r="T6" s="10" t="s">
        <v>36</v>
      </c>
      <c r="U6" s="10" t="s">
        <v>37</v>
      </c>
    </row>
    <row r="7" ht="45" customHeight="1" spans="1:21">
      <c r="A7" s="5">
        <f>MAX($A$5:A6)+1</f>
        <v>2</v>
      </c>
      <c r="B7" s="7" t="s">
        <v>26</v>
      </c>
      <c r="C7" s="7" t="s">
        <v>38</v>
      </c>
      <c r="D7" s="7" t="s">
        <v>39</v>
      </c>
      <c r="E7" s="7" t="s">
        <v>40</v>
      </c>
      <c r="F7" s="7" t="s">
        <v>41</v>
      </c>
      <c r="G7" s="7" t="s">
        <v>30</v>
      </c>
      <c r="H7" s="7" t="s">
        <v>42</v>
      </c>
      <c r="I7" s="7" t="s">
        <v>43</v>
      </c>
      <c r="J7" s="7" t="s">
        <v>33</v>
      </c>
      <c r="K7" s="7" t="s">
        <v>34</v>
      </c>
      <c r="L7" s="10" t="s">
        <v>35</v>
      </c>
      <c r="M7" s="7">
        <f t="shared" si="0"/>
        <v>296.983252</v>
      </c>
      <c r="N7" s="11">
        <v>296.983252</v>
      </c>
      <c r="O7" s="12"/>
      <c r="P7" s="12"/>
      <c r="Q7" s="12"/>
      <c r="R7" s="12">
        <f>149.375+89.625+44.8125+13.170752</f>
        <v>296.983252</v>
      </c>
      <c r="S7" s="10" t="s">
        <v>44</v>
      </c>
      <c r="T7" s="10" t="s">
        <v>45</v>
      </c>
      <c r="U7" s="10" t="s">
        <v>37</v>
      </c>
    </row>
    <row r="8" ht="45" customHeight="1" spans="1:21">
      <c r="A8" s="5">
        <f>MAX($A$5:A7)+1</f>
        <v>3</v>
      </c>
      <c r="B8" s="7" t="s">
        <v>26</v>
      </c>
      <c r="C8" s="7" t="s">
        <v>46</v>
      </c>
      <c r="D8" s="7" t="s">
        <v>47</v>
      </c>
      <c r="E8" s="7" t="s">
        <v>48</v>
      </c>
      <c r="F8" s="7" t="s">
        <v>49</v>
      </c>
      <c r="G8" s="7" t="s">
        <v>30</v>
      </c>
      <c r="H8" s="7" t="s">
        <v>50</v>
      </c>
      <c r="I8" s="7" t="s">
        <v>51</v>
      </c>
      <c r="J8" s="7" t="s">
        <v>52</v>
      </c>
      <c r="K8" s="7" t="s">
        <v>53</v>
      </c>
      <c r="L8" s="10" t="s">
        <v>54</v>
      </c>
      <c r="M8" s="7">
        <f t="shared" si="0"/>
        <v>162.149948</v>
      </c>
      <c r="N8" s="12"/>
      <c r="O8" s="11">
        <v>162.149948</v>
      </c>
      <c r="P8" s="12"/>
      <c r="Q8" s="12"/>
      <c r="R8" s="12">
        <f>162.149948</f>
        <v>162.149948</v>
      </c>
      <c r="S8" s="10" t="s">
        <v>55</v>
      </c>
      <c r="T8" s="10" t="s">
        <v>56</v>
      </c>
      <c r="U8" s="10" t="s">
        <v>57</v>
      </c>
    </row>
    <row r="9" ht="45" customHeight="1" spans="1:21">
      <c r="A9" s="5">
        <f>MAX($A$5:A8)+1</f>
        <v>4</v>
      </c>
      <c r="B9" s="7" t="s">
        <v>26</v>
      </c>
      <c r="C9" s="7" t="s">
        <v>58</v>
      </c>
      <c r="D9" s="7" t="s">
        <v>39</v>
      </c>
      <c r="E9" s="7" t="s">
        <v>59</v>
      </c>
      <c r="F9" s="7" t="s">
        <v>60</v>
      </c>
      <c r="G9" s="7" t="s">
        <v>30</v>
      </c>
      <c r="H9" s="7" t="s">
        <v>61</v>
      </c>
      <c r="I9" s="7" t="s">
        <v>62</v>
      </c>
      <c r="J9" s="7" t="s">
        <v>33</v>
      </c>
      <c r="K9" s="7" t="s">
        <v>34</v>
      </c>
      <c r="L9" s="10" t="s">
        <v>35</v>
      </c>
      <c r="M9" s="7">
        <f t="shared" si="0"/>
        <v>277.78</v>
      </c>
      <c r="N9" s="11">
        <v>277.78</v>
      </c>
      <c r="O9" s="12"/>
      <c r="P9" s="12"/>
      <c r="Q9" s="12"/>
      <c r="R9" s="12">
        <f>222.4988+55.2812</f>
        <v>277.78</v>
      </c>
      <c r="S9" s="10" t="s">
        <v>63</v>
      </c>
      <c r="T9" s="10" t="s">
        <v>64</v>
      </c>
      <c r="U9" s="10" t="s">
        <v>37</v>
      </c>
    </row>
    <row r="10" ht="45" customHeight="1" spans="1:21">
      <c r="A10" s="5">
        <f>MAX($A$5:A9)+1</f>
        <v>5</v>
      </c>
      <c r="B10" s="7" t="s">
        <v>26</v>
      </c>
      <c r="C10" s="7" t="s">
        <v>65</v>
      </c>
      <c r="D10" s="7" t="s">
        <v>47</v>
      </c>
      <c r="E10" s="7" t="s">
        <v>66</v>
      </c>
      <c r="F10" s="7" t="s">
        <v>67</v>
      </c>
      <c r="G10" s="7" t="s">
        <v>68</v>
      </c>
      <c r="H10" s="7" t="s">
        <v>69</v>
      </c>
      <c r="I10" s="7" t="s">
        <v>70</v>
      </c>
      <c r="J10" s="7" t="s">
        <v>71</v>
      </c>
      <c r="K10" s="7" t="s">
        <v>72</v>
      </c>
      <c r="L10" s="10" t="s">
        <v>73</v>
      </c>
      <c r="M10" s="7">
        <f t="shared" si="0"/>
        <v>722.037756</v>
      </c>
      <c r="N10" s="12"/>
      <c r="O10" s="12"/>
      <c r="P10" s="12"/>
      <c r="Q10" s="11">
        <v>722.037756</v>
      </c>
      <c r="R10" s="12">
        <f>50+577.630205+72.746418+21.661133</f>
        <v>722.037756</v>
      </c>
      <c r="S10" s="10" t="s">
        <v>74</v>
      </c>
      <c r="T10" s="10" t="s">
        <v>75</v>
      </c>
      <c r="U10" s="10" t="s">
        <v>37</v>
      </c>
    </row>
    <row r="11" ht="45" customHeight="1" spans="1:21">
      <c r="A11" s="5">
        <f>MAX($A$5:A10)+1</f>
        <v>6</v>
      </c>
      <c r="B11" s="7" t="s">
        <v>26</v>
      </c>
      <c r="C11" s="7" t="s">
        <v>76</v>
      </c>
      <c r="D11" s="7" t="s">
        <v>39</v>
      </c>
      <c r="E11" s="7" t="s">
        <v>59</v>
      </c>
      <c r="F11" s="7" t="s">
        <v>77</v>
      </c>
      <c r="G11" s="7" t="s">
        <v>30</v>
      </c>
      <c r="H11" s="7" t="s">
        <v>78</v>
      </c>
      <c r="I11" s="7" t="s">
        <v>79</v>
      </c>
      <c r="J11" s="7" t="s">
        <v>33</v>
      </c>
      <c r="K11" s="7" t="s">
        <v>34</v>
      </c>
      <c r="L11" s="10" t="s">
        <v>35</v>
      </c>
      <c r="M11" s="7">
        <f t="shared" si="0"/>
        <v>88.60549</v>
      </c>
      <c r="N11" s="11">
        <v>88.60549</v>
      </c>
      <c r="O11" s="12"/>
      <c r="P11" s="12"/>
      <c r="Q11" s="12"/>
      <c r="R11" s="12">
        <f>17.70149+26.589+44.315</f>
        <v>88.60549</v>
      </c>
      <c r="S11" s="10" t="s">
        <v>80</v>
      </c>
      <c r="T11" s="10" t="s">
        <v>81</v>
      </c>
      <c r="U11" s="10" t="s">
        <v>37</v>
      </c>
    </row>
    <row r="12" ht="45" customHeight="1" spans="1:21">
      <c r="A12" s="5">
        <f>MAX($A$5:A11)+1</f>
        <v>7</v>
      </c>
      <c r="B12" s="7" t="s">
        <v>26</v>
      </c>
      <c r="C12" s="7" t="s">
        <v>82</v>
      </c>
      <c r="D12" s="7" t="s">
        <v>39</v>
      </c>
      <c r="E12" s="7" t="s">
        <v>83</v>
      </c>
      <c r="F12" s="7" t="s">
        <v>84</v>
      </c>
      <c r="G12" s="7" t="s">
        <v>30</v>
      </c>
      <c r="H12" s="7" t="s">
        <v>85</v>
      </c>
      <c r="I12" s="7" t="s">
        <v>86</v>
      </c>
      <c r="J12" s="7" t="s">
        <v>33</v>
      </c>
      <c r="K12" s="7" t="s">
        <v>34</v>
      </c>
      <c r="L12" s="10" t="s">
        <v>35</v>
      </c>
      <c r="M12" s="7">
        <f t="shared" si="0"/>
        <v>30.090666</v>
      </c>
      <c r="N12" s="11">
        <v>30.090666</v>
      </c>
      <c r="O12" s="12"/>
      <c r="P12" s="12"/>
      <c r="Q12" s="12"/>
      <c r="R12" s="12">
        <f>30.090666</f>
        <v>30.090666</v>
      </c>
      <c r="S12" s="10" t="s">
        <v>87</v>
      </c>
      <c r="T12" s="10" t="s">
        <v>88</v>
      </c>
      <c r="U12" s="10" t="s">
        <v>37</v>
      </c>
    </row>
    <row r="13" ht="45" customHeight="1" spans="1:21">
      <c r="A13" s="5">
        <f>MAX($A$5:A12)+1</f>
        <v>8</v>
      </c>
      <c r="B13" s="7" t="s">
        <v>26</v>
      </c>
      <c r="C13" s="7" t="s">
        <v>89</v>
      </c>
      <c r="D13" s="7" t="s">
        <v>39</v>
      </c>
      <c r="E13" s="7" t="s">
        <v>59</v>
      </c>
      <c r="F13" s="7" t="s">
        <v>90</v>
      </c>
      <c r="G13" s="7" t="s">
        <v>30</v>
      </c>
      <c r="H13" s="7" t="s">
        <v>91</v>
      </c>
      <c r="I13" s="7" t="s">
        <v>92</v>
      </c>
      <c r="J13" s="7" t="s">
        <v>33</v>
      </c>
      <c r="K13" s="7" t="s">
        <v>34</v>
      </c>
      <c r="L13" s="10" t="s">
        <v>35</v>
      </c>
      <c r="M13" s="7">
        <f t="shared" si="0"/>
        <v>87.86</v>
      </c>
      <c r="N13" s="11">
        <v>87.86</v>
      </c>
      <c r="O13" s="12"/>
      <c r="P13" s="12"/>
      <c r="Q13" s="12"/>
      <c r="R13" s="12">
        <f>87.86</f>
        <v>87.86</v>
      </c>
      <c r="S13" s="10" t="s">
        <v>93</v>
      </c>
      <c r="T13" s="10" t="s">
        <v>94</v>
      </c>
      <c r="U13" s="10" t="s">
        <v>37</v>
      </c>
    </row>
    <row r="14" ht="45" customHeight="1" spans="1:21">
      <c r="A14" s="5">
        <f>MAX($A$5:A13)+1</f>
        <v>9</v>
      </c>
      <c r="B14" s="7" t="s">
        <v>26</v>
      </c>
      <c r="C14" s="7" t="s">
        <v>95</v>
      </c>
      <c r="D14" s="7" t="s">
        <v>39</v>
      </c>
      <c r="E14" s="7" t="s">
        <v>96</v>
      </c>
      <c r="F14" s="7" t="s">
        <v>97</v>
      </c>
      <c r="G14" s="7" t="s">
        <v>30</v>
      </c>
      <c r="H14" s="7" t="s">
        <v>98</v>
      </c>
      <c r="I14" s="7" t="s">
        <v>99</v>
      </c>
      <c r="J14" s="7" t="s">
        <v>33</v>
      </c>
      <c r="K14" s="7" t="s">
        <v>34</v>
      </c>
      <c r="L14" s="10" t="s">
        <v>35</v>
      </c>
      <c r="M14" s="7">
        <f t="shared" si="0"/>
        <v>172.117987</v>
      </c>
      <c r="N14" s="11">
        <v>172.117987</v>
      </c>
      <c r="O14" s="12"/>
      <c r="P14" s="12"/>
      <c r="Q14" s="12"/>
      <c r="R14" s="12">
        <f>172.117987</f>
        <v>172.117987</v>
      </c>
      <c r="S14" s="10" t="s">
        <v>100</v>
      </c>
      <c r="T14" s="10" t="s">
        <v>101</v>
      </c>
      <c r="U14" s="10" t="s">
        <v>37</v>
      </c>
    </row>
    <row r="15" ht="45" customHeight="1" spans="1:21">
      <c r="A15" s="5">
        <f>MAX($A$5:A14)+1</f>
        <v>10</v>
      </c>
      <c r="B15" s="7" t="s">
        <v>26</v>
      </c>
      <c r="C15" s="7" t="s">
        <v>102</v>
      </c>
      <c r="D15" s="7" t="s">
        <v>39</v>
      </c>
      <c r="E15" s="7" t="s">
        <v>59</v>
      </c>
      <c r="F15" s="7" t="s">
        <v>103</v>
      </c>
      <c r="G15" s="7" t="s">
        <v>30</v>
      </c>
      <c r="H15" s="7" t="s">
        <v>104</v>
      </c>
      <c r="I15" s="7" t="s">
        <v>105</v>
      </c>
      <c r="J15" s="7" t="s">
        <v>33</v>
      </c>
      <c r="K15" s="7" t="s">
        <v>34</v>
      </c>
      <c r="L15" s="10" t="s">
        <v>35</v>
      </c>
      <c r="M15" s="7">
        <f t="shared" si="0"/>
        <v>66.8</v>
      </c>
      <c r="N15" s="11">
        <v>66.8</v>
      </c>
      <c r="O15" s="12"/>
      <c r="P15" s="12"/>
      <c r="Q15" s="12"/>
      <c r="R15" s="12">
        <f>53.44+13.36</f>
        <v>66.8</v>
      </c>
      <c r="S15" s="10" t="s">
        <v>106</v>
      </c>
      <c r="T15" s="10" t="s">
        <v>107</v>
      </c>
      <c r="U15" s="10" t="s">
        <v>37</v>
      </c>
    </row>
    <row r="16" ht="45" customHeight="1" spans="1:21">
      <c r="A16" s="5">
        <f>MAX($A$5:A15)+1</f>
        <v>11</v>
      </c>
      <c r="B16" s="7" t="s">
        <v>26</v>
      </c>
      <c r="C16" s="7" t="s">
        <v>108</v>
      </c>
      <c r="D16" s="7" t="s">
        <v>39</v>
      </c>
      <c r="E16" s="7" t="s">
        <v>59</v>
      </c>
      <c r="F16" s="7" t="s">
        <v>109</v>
      </c>
      <c r="G16" s="7" t="s">
        <v>30</v>
      </c>
      <c r="H16" s="7" t="s">
        <v>110</v>
      </c>
      <c r="I16" s="7" t="s">
        <v>111</v>
      </c>
      <c r="J16" s="7" t="s">
        <v>52</v>
      </c>
      <c r="K16" s="7" t="s">
        <v>53</v>
      </c>
      <c r="L16" s="10" t="s">
        <v>54</v>
      </c>
      <c r="M16" s="7">
        <f t="shared" si="0"/>
        <v>132.541694</v>
      </c>
      <c r="N16" s="12"/>
      <c r="O16" s="11">
        <v>132.541694</v>
      </c>
      <c r="P16" s="12"/>
      <c r="Q16" s="12"/>
      <c r="R16" s="12">
        <f>132.541694</f>
        <v>132.541694</v>
      </c>
      <c r="S16" s="10" t="s">
        <v>112</v>
      </c>
      <c r="T16" s="10" t="s">
        <v>113</v>
      </c>
      <c r="U16" s="10" t="s">
        <v>37</v>
      </c>
    </row>
    <row r="17" ht="45" customHeight="1" spans="1:21">
      <c r="A17" s="5">
        <f>MAX($A$5:A16)+1</f>
        <v>12</v>
      </c>
      <c r="B17" s="7" t="s">
        <v>26</v>
      </c>
      <c r="C17" s="7" t="s">
        <v>114</v>
      </c>
      <c r="D17" s="7" t="s">
        <v>39</v>
      </c>
      <c r="E17" s="7" t="s">
        <v>40</v>
      </c>
      <c r="F17" s="7" t="s">
        <v>109</v>
      </c>
      <c r="G17" s="7" t="s">
        <v>30</v>
      </c>
      <c r="H17" s="7" t="s">
        <v>115</v>
      </c>
      <c r="I17" s="7" t="s">
        <v>116</v>
      </c>
      <c r="J17" s="7" t="s">
        <v>52</v>
      </c>
      <c r="K17" s="7" t="s">
        <v>53</v>
      </c>
      <c r="L17" s="10" t="s">
        <v>54</v>
      </c>
      <c r="M17" s="7">
        <f t="shared" si="0"/>
        <v>98.9</v>
      </c>
      <c r="N17" s="12"/>
      <c r="O17" s="11">
        <v>98.9</v>
      </c>
      <c r="P17" s="12"/>
      <c r="Q17" s="12"/>
      <c r="R17" s="12">
        <f>98.9</f>
        <v>98.9</v>
      </c>
      <c r="S17" s="10" t="s">
        <v>117</v>
      </c>
      <c r="T17" s="10" t="s">
        <v>118</v>
      </c>
      <c r="U17" s="10" t="s">
        <v>37</v>
      </c>
    </row>
    <row r="18" ht="45" customHeight="1" spans="1:21">
      <c r="A18" s="5">
        <f>MAX($A$5:A17)+1</f>
        <v>13</v>
      </c>
      <c r="B18" s="7" t="s">
        <v>26</v>
      </c>
      <c r="C18" s="7" t="s">
        <v>119</v>
      </c>
      <c r="D18" s="7" t="s">
        <v>39</v>
      </c>
      <c r="E18" s="7" t="s">
        <v>59</v>
      </c>
      <c r="F18" s="7" t="s">
        <v>109</v>
      </c>
      <c r="G18" s="7" t="s">
        <v>30</v>
      </c>
      <c r="H18" s="7" t="s">
        <v>120</v>
      </c>
      <c r="I18" s="7" t="s">
        <v>121</v>
      </c>
      <c r="J18" s="7" t="s">
        <v>52</v>
      </c>
      <c r="K18" s="7" t="s">
        <v>53</v>
      </c>
      <c r="L18" s="10" t="s">
        <v>54</v>
      </c>
      <c r="M18" s="7">
        <f t="shared" si="0"/>
        <v>79.585948</v>
      </c>
      <c r="N18" s="12"/>
      <c r="O18" s="11">
        <v>79.585948</v>
      </c>
      <c r="P18" s="12"/>
      <c r="Q18" s="12"/>
      <c r="R18" s="12">
        <f>79.585948</f>
        <v>79.585948</v>
      </c>
      <c r="S18" s="10" t="s">
        <v>122</v>
      </c>
      <c r="T18" s="10" t="s">
        <v>123</v>
      </c>
      <c r="U18" s="10" t="s">
        <v>37</v>
      </c>
    </row>
    <row r="19" ht="45" customHeight="1" spans="1:21">
      <c r="A19" s="5">
        <f>MAX($A$5:A18)+1</f>
        <v>14</v>
      </c>
      <c r="B19" s="7" t="s">
        <v>124</v>
      </c>
      <c r="C19" s="7" t="s">
        <v>125</v>
      </c>
      <c r="D19" s="7" t="s">
        <v>47</v>
      </c>
      <c r="E19" s="7" t="s">
        <v>126</v>
      </c>
      <c r="F19" s="7" t="s">
        <v>127</v>
      </c>
      <c r="G19" s="7" t="s">
        <v>127</v>
      </c>
      <c r="H19" s="7" t="s">
        <v>31</v>
      </c>
      <c r="I19" s="7" t="s">
        <v>128</v>
      </c>
      <c r="J19" s="7" t="s">
        <v>33</v>
      </c>
      <c r="K19" s="7" t="s">
        <v>34</v>
      </c>
      <c r="L19" s="10" t="s">
        <v>35</v>
      </c>
      <c r="M19" s="7">
        <f t="shared" si="0"/>
        <v>527.762398</v>
      </c>
      <c r="N19" s="7">
        <v>527.762398</v>
      </c>
      <c r="O19" s="7"/>
      <c r="P19" s="7"/>
      <c r="Q19" s="7"/>
      <c r="R19" s="7">
        <f>527.762398</f>
        <v>527.762398</v>
      </c>
      <c r="S19" s="7" t="s">
        <v>129</v>
      </c>
      <c r="T19" s="7"/>
      <c r="U19" s="7" t="s">
        <v>130</v>
      </c>
    </row>
    <row r="20" ht="45" customHeight="1" spans="1:21">
      <c r="A20" s="5">
        <f>MAX($A$5:A19)+1</f>
        <v>15</v>
      </c>
      <c r="B20" s="7" t="s">
        <v>124</v>
      </c>
      <c r="C20" s="7" t="s">
        <v>131</v>
      </c>
      <c r="D20" s="7" t="s">
        <v>28</v>
      </c>
      <c r="E20" s="7" t="s">
        <v>29</v>
      </c>
      <c r="F20" s="7" t="s">
        <v>30</v>
      </c>
      <c r="G20" s="7" t="s">
        <v>30</v>
      </c>
      <c r="H20" s="7" t="s">
        <v>31</v>
      </c>
      <c r="I20" s="7" t="s">
        <v>132</v>
      </c>
      <c r="J20" s="7" t="s">
        <v>33</v>
      </c>
      <c r="K20" s="7" t="s">
        <v>34</v>
      </c>
      <c r="L20" s="10" t="s">
        <v>35</v>
      </c>
      <c r="M20" s="7">
        <f t="shared" si="0"/>
        <v>461.25</v>
      </c>
      <c r="N20" s="7">
        <v>461.25</v>
      </c>
      <c r="O20" s="7"/>
      <c r="P20" s="7"/>
      <c r="Q20" s="7"/>
      <c r="R20" s="7">
        <f>461.25</f>
        <v>461.25</v>
      </c>
      <c r="S20" s="7"/>
      <c r="T20" s="7" t="s">
        <v>133</v>
      </c>
      <c r="U20" s="7" t="s">
        <v>134</v>
      </c>
    </row>
    <row r="21" ht="45" customHeight="1" spans="1:21">
      <c r="A21" s="5">
        <f>MAX($A$5:A20)+1</f>
        <v>16</v>
      </c>
      <c r="B21" s="7" t="s">
        <v>135</v>
      </c>
      <c r="C21" s="7" t="s">
        <v>136</v>
      </c>
      <c r="D21" s="7" t="s">
        <v>28</v>
      </c>
      <c r="E21" s="7" t="s">
        <v>137</v>
      </c>
      <c r="F21" s="7" t="s">
        <v>30</v>
      </c>
      <c r="G21" s="7" t="s">
        <v>30</v>
      </c>
      <c r="H21" s="7" t="s">
        <v>31</v>
      </c>
      <c r="I21" s="7" t="s">
        <v>138</v>
      </c>
      <c r="J21" s="7" t="s">
        <v>52</v>
      </c>
      <c r="K21" s="7" t="s">
        <v>53</v>
      </c>
      <c r="L21" s="10" t="s">
        <v>54</v>
      </c>
      <c r="M21" s="7">
        <f t="shared" si="0"/>
        <v>402.09</v>
      </c>
      <c r="N21" s="7"/>
      <c r="O21" s="7">
        <v>402.09</v>
      </c>
      <c r="P21" s="7"/>
      <c r="Q21" s="7"/>
      <c r="R21" s="7">
        <f>134.19+267.93</f>
        <v>402.12</v>
      </c>
      <c r="S21" s="7"/>
      <c r="T21" s="7" t="s">
        <v>139</v>
      </c>
      <c r="U21" s="7" t="s">
        <v>140</v>
      </c>
    </row>
    <row r="22" ht="45" customHeight="1" spans="1:21">
      <c r="A22" s="5">
        <f>MAX($A$5:A21)+1</f>
        <v>17</v>
      </c>
      <c r="B22" s="7" t="s">
        <v>135</v>
      </c>
      <c r="C22" s="7" t="s">
        <v>141</v>
      </c>
      <c r="D22" s="7" t="s">
        <v>28</v>
      </c>
      <c r="E22" s="7" t="s">
        <v>142</v>
      </c>
      <c r="F22" s="7" t="s">
        <v>30</v>
      </c>
      <c r="G22" s="7" t="s">
        <v>30</v>
      </c>
      <c r="H22" s="7" t="s">
        <v>31</v>
      </c>
      <c r="I22" s="7" t="s">
        <v>143</v>
      </c>
      <c r="J22" s="7" t="s">
        <v>144</v>
      </c>
      <c r="K22" s="7" t="s">
        <v>145</v>
      </c>
      <c r="L22" s="10" t="s">
        <v>146</v>
      </c>
      <c r="M22" s="7">
        <f t="shared" si="0"/>
        <v>132.006631</v>
      </c>
      <c r="N22" s="7"/>
      <c r="O22" s="7"/>
      <c r="P22" s="7">
        <v>132.006631</v>
      </c>
      <c r="Q22" s="7"/>
      <c r="R22" s="15">
        <f>58.866086+36.979553-0.584+33.701835</f>
        <v>128.963474</v>
      </c>
      <c r="S22" s="7"/>
      <c r="T22" s="7" t="s">
        <v>147</v>
      </c>
      <c r="U22" s="7" t="s">
        <v>148</v>
      </c>
    </row>
    <row r="23" ht="45" customHeight="1" spans="1:21">
      <c r="A23" s="5">
        <f>MAX($A$5:A22)+1</f>
        <v>18</v>
      </c>
      <c r="B23" s="7" t="s">
        <v>135</v>
      </c>
      <c r="C23" s="7" t="s">
        <v>149</v>
      </c>
      <c r="D23" s="7" t="s">
        <v>28</v>
      </c>
      <c r="E23" s="7" t="s">
        <v>137</v>
      </c>
      <c r="F23" s="7" t="s">
        <v>150</v>
      </c>
      <c r="G23" s="7" t="s">
        <v>150</v>
      </c>
      <c r="H23" s="7" t="s">
        <v>31</v>
      </c>
      <c r="I23" s="7" t="s">
        <v>138</v>
      </c>
      <c r="J23" s="7" t="s">
        <v>144</v>
      </c>
      <c r="K23" s="7" t="s">
        <v>151</v>
      </c>
      <c r="L23" s="10" t="s">
        <v>146</v>
      </c>
      <c r="M23" s="7">
        <f t="shared" ref="M23:M69" si="1">N23+O23+P23+Q23</f>
        <v>44.55</v>
      </c>
      <c r="N23" s="7"/>
      <c r="O23" s="7"/>
      <c r="P23" s="7">
        <v>44.55</v>
      </c>
      <c r="Q23" s="7"/>
      <c r="R23" s="7">
        <v>44.55</v>
      </c>
      <c r="S23" s="7"/>
      <c r="T23" s="7" t="s">
        <v>152</v>
      </c>
      <c r="U23" s="7" t="s">
        <v>140</v>
      </c>
    </row>
    <row r="24" ht="45" customHeight="1" spans="1:21">
      <c r="A24" s="5">
        <f>MAX($A$5:A23)+1</f>
        <v>19</v>
      </c>
      <c r="B24" s="7" t="s">
        <v>135</v>
      </c>
      <c r="C24" s="7" t="s">
        <v>153</v>
      </c>
      <c r="D24" s="7" t="s">
        <v>28</v>
      </c>
      <c r="E24" s="7" t="s">
        <v>137</v>
      </c>
      <c r="F24" s="7" t="s">
        <v>154</v>
      </c>
      <c r="G24" s="7" t="s">
        <v>154</v>
      </c>
      <c r="H24" s="7" t="s">
        <v>31</v>
      </c>
      <c r="I24" s="7" t="s">
        <v>138</v>
      </c>
      <c r="J24" s="7" t="s">
        <v>144</v>
      </c>
      <c r="K24" s="7" t="s">
        <v>151</v>
      </c>
      <c r="L24" s="10" t="s">
        <v>146</v>
      </c>
      <c r="M24" s="7">
        <f t="shared" si="1"/>
        <v>29.16</v>
      </c>
      <c r="N24" s="7"/>
      <c r="O24" s="7"/>
      <c r="P24" s="7">
        <v>29.16</v>
      </c>
      <c r="Q24" s="7"/>
      <c r="R24" s="7">
        <v>29.16</v>
      </c>
      <c r="S24" s="7"/>
      <c r="T24" s="7" t="s">
        <v>155</v>
      </c>
      <c r="U24" s="7" t="s">
        <v>140</v>
      </c>
    </row>
    <row r="25" ht="45" customHeight="1" spans="1:21">
      <c r="A25" s="5">
        <f>MAX($A$5:A24)+1</f>
        <v>20</v>
      </c>
      <c r="B25" s="7" t="s">
        <v>135</v>
      </c>
      <c r="C25" s="7" t="s">
        <v>156</v>
      </c>
      <c r="D25" s="7" t="s">
        <v>28</v>
      </c>
      <c r="E25" s="7" t="s">
        <v>137</v>
      </c>
      <c r="F25" s="7" t="s">
        <v>157</v>
      </c>
      <c r="G25" s="7" t="s">
        <v>157</v>
      </c>
      <c r="H25" s="7" t="s">
        <v>31</v>
      </c>
      <c r="I25" s="7" t="s">
        <v>138</v>
      </c>
      <c r="J25" s="7" t="s">
        <v>144</v>
      </c>
      <c r="K25" s="7" t="s">
        <v>151</v>
      </c>
      <c r="L25" s="10" t="s">
        <v>146</v>
      </c>
      <c r="M25" s="7">
        <f t="shared" si="1"/>
        <v>62.48</v>
      </c>
      <c r="N25" s="7"/>
      <c r="O25" s="7"/>
      <c r="P25" s="7">
        <v>62.48</v>
      </c>
      <c r="Q25" s="7"/>
      <c r="R25" s="7">
        <v>62.48</v>
      </c>
      <c r="S25" s="7"/>
      <c r="T25" s="7" t="s">
        <v>158</v>
      </c>
      <c r="U25" s="7" t="s">
        <v>140</v>
      </c>
    </row>
    <row r="26" ht="45" customHeight="1" spans="1:21">
      <c r="A26" s="5">
        <f>MAX($A$5:A25)+1</f>
        <v>21</v>
      </c>
      <c r="B26" s="7" t="s">
        <v>135</v>
      </c>
      <c r="C26" s="7" t="s">
        <v>159</v>
      </c>
      <c r="D26" s="7" t="s">
        <v>28</v>
      </c>
      <c r="E26" s="7" t="s">
        <v>137</v>
      </c>
      <c r="F26" s="7" t="s">
        <v>160</v>
      </c>
      <c r="G26" s="7" t="s">
        <v>160</v>
      </c>
      <c r="H26" s="7" t="s">
        <v>31</v>
      </c>
      <c r="I26" s="7" t="s">
        <v>138</v>
      </c>
      <c r="J26" s="7" t="s">
        <v>144</v>
      </c>
      <c r="K26" s="7" t="s">
        <v>151</v>
      </c>
      <c r="L26" s="10" t="s">
        <v>146</v>
      </c>
      <c r="M26" s="7">
        <f t="shared" si="1"/>
        <v>213.2</v>
      </c>
      <c r="N26" s="7"/>
      <c r="O26" s="7"/>
      <c r="P26" s="7">
        <v>213.2</v>
      </c>
      <c r="Q26" s="7"/>
      <c r="R26" s="7">
        <v>213.2</v>
      </c>
      <c r="S26" s="7"/>
      <c r="T26" s="7" t="s">
        <v>161</v>
      </c>
      <c r="U26" s="7" t="s">
        <v>159</v>
      </c>
    </row>
    <row r="27" ht="45" customHeight="1" spans="1:21">
      <c r="A27" s="5">
        <f>MAX($A$5:A26)+1</f>
        <v>22</v>
      </c>
      <c r="B27" s="7" t="s">
        <v>135</v>
      </c>
      <c r="C27" s="7" t="s">
        <v>162</v>
      </c>
      <c r="D27" s="7" t="s">
        <v>47</v>
      </c>
      <c r="E27" s="7" t="s">
        <v>66</v>
      </c>
      <c r="F27" s="7" t="s">
        <v>163</v>
      </c>
      <c r="G27" s="7" t="s">
        <v>30</v>
      </c>
      <c r="H27" s="7" t="s">
        <v>164</v>
      </c>
      <c r="I27" s="7" t="s">
        <v>165</v>
      </c>
      <c r="J27" s="7" t="s">
        <v>144</v>
      </c>
      <c r="K27" s="7" t="s">
        <v>151</v>
      </c>
      <c r="L27" s="10" t="s">
        <v>146</v>
      </c>
      <c r="M27" s="7">
        <f t="shared" si="1"/>
        <v>148.33</v>
      </c>
      <c r="N27" s="7"/>
      <c r="O27" s="7"/>
      <c r="P27" s="7">
        <v>148.33</v>
      </c>
      <c r="Q27" s="7"/>
      <c r="R27" s="7">
        <f>118.565+29.765</f>
        <v>148.33</v>
      </c>
      <c r="S27" s="7" t="s">
        <v>166</v>
      </c>
      <c r="T27" s="7" t="s">
        <v>167</v>
      </c>
      <c r="U27" s="7" t="s">
        <v>57</v>
      </c>
    </row>
    <row r="28" ht="45" customHeight="1" spans="1:21">
      <c r="A28" s="5">
        <f>MAX($A$5:A27)+1</f>
        <v>23</v>
      </c>
      <c r="B28" s="7" t="s">
        <v>135</v>
      </c>
      <c r="C28" s="7" t="s">
        <v>168</v>
      </c>
      <c r="D28" s="7" t="s">
        <v>47</v>
      </c>
      <c r="E28" s="7" t="s">
        <v>169</v>
      </c>
      <c r="F28" s="7" t="s">
        <v>170</v>
      </c>
      <c r="G28" s="7" t="s">
        <v>30</v>
      </c>
      <c r="H28" s="7" t="s">
        <v>171</v>
      </c>
      <c r="I28" s="7" t="s">
        <v>172</v>
      </c>
      <c r="J28" s="7" t="s">
        <v>33</v>
      </c>
      <c r="K28" s="7" t="s">
        <v>34</v>
      </c>
      <c r="L28" s="10" t="s">
        <v>35</v>
      </c>
      <c r="M28" s="7">
        <f t="shared" si="1"/>
        <v>391.255</v>
      </c>
      <c r="N28" s="7">
        <v>391.255</v>
      </c>
      <c r="O28" s="7"/>
      <c r="P28" s="7"/>
      <c r="Q28" s="7"/>
      <c r="R28" s="7">
        <f>195.88+117.528+77.847</f>
        <v>391.255</v>
      </c>
      <c r="S28" s="7" t="s">
        <v>173</v>
      </c>
      <c r="T28" s="7" t="s">
        <v>174</v>
      </c>
      <c r="U28" s="7" t="s">
        <v>175</v>
      </c>
    </row>
    <row r="29" ht="45" customHeight="1" spans="1:21">
      <c r="A29" s="5">
        <f>MAX($A$5:A28)+1</f>
        <v>24</v>
      </c>
      <c r="B29" s="7" t="s">
        <v>135</v>
      </c>
      <c r="C29" s="7" t="s">
        <v>176</v>
      </c>
      <c r="D29" s="7" t="s">
        <v>28</v>
      </c>
      <c r="E29" s="7" t="s">
        <v>142</v>
      </c>
      <c r="F29" s="7" t="s">
        <v>177</v>
      </c>
      <c r="G29" s="7" t="s">
        <v>178</v>
      </c>
      <c r="H29" s="7" t="s">
        <v>179</v>
      </c>
      <c r="I29" s="7" t="s">
        <v>180</v>
      </c>
      <c r="J29" s="7" t="s">
        <v>71</v>
      </c>
      <c r="K29" s="7" t="s">
        <v>72</v>
      </c>
      <c r="L29" s="10" t="s">
        <v>73</v>
      </c>
      <c r="M29" s="7">
        <f t="shared" si="1"/>
        <v>37</v>
      </c>
      <c r="N29" s="7"/>
      <c r="O29" s="7"/>
      <c r="P29" s="7"/>
      <c r="Q29" s="7">
        <v>37</v>
      </c>
      <c r="R29" s="7">
        <v>37</v>
      </c>
      <c r="S29" s="7"/>
      <c r="T29" s="16" t="s">
        <v>181</v>
      </c>
      <c r="U29" s="16" t="s">
        <v>182</v>
      </c>
    </row>
    <row r="30" ht="45" customHeight="1" spans="1:21">
      <c r="A30" s="5"/>
      <c r="B30" s="7"/>
      <c r="C30" s="7" t="s">
        <v>183</v>
      </c>
      <c r="D30" s="7" t="s">
        <v>28</v>
      </c>
      <c r="E30" s="7" t="s">
        <v>142</v>
      </c>
      <c r="F30" s="7" t="s">
        <v>184</v>
      </c>
      <c r="G30" s="7" t="s">
        <v>178</v>
      </c>
      <c r="H30" s="7" t="s">
        <v>185</v>
      </c>
      <c r="I30" s="7" t="s">
        <v>180</v>
      </c>
      <c r="J30" s="7" t="s">
        <v>71</v>
      </c>
      <c r="K30" s="7" t="s">
        <v>72</v>
      </c>
      <c r="L30" s="10" t="s">
        <v>73</v>
      </c>
      <c r="M30" s="7">
        <f t="shared" si="1"/>
        <v>44</v>
      </c>
      <c r="N30" s="7"/>
      <c r="O30" s="7"/>
      <c r="P30" s="7"/>
      <c r="Q30" s="7">
        <v>44</v>
      </c>
      <c r="R30" s="7">
        <f>21.5033+22.4967</f>
        <v>44</v>
      </c>
      <c r="S30" s="7"/>
      <c r="T30" s="17"/>
      <c r="U30" s="17"/>
    </row>
    <row r="31" ht="45" customHeight="1" spans="1:21">
      <c r="A31" s="5"/>
      <c r="B31" s="7"/>
      <c r="C31" s="7" t="s">
        <v>186</v>
      </c>
      <c r="D31" s="7" t="s">
        <v>28</v>
      </c>
      <c r="E31" s="7" t="s">
        <v>142</v>
      </c>
      <c r="F31" s="7" t="s">
        <v>187</v>
      </c>
      <c r="G31" s="7" t="s">
        <v>178</v>
      </c>
      <c r="H31" s="7" t="s">
        <v>188</v>
      </c>
      <c r="I31" s="7" t="s">
        <v>180</v>
      </c>
      <c r="J31" s="7" t="s">
        <v>71</v>
      </c>
      <c r="K31" s="7" t="s">
        <v>72</v>
      </c>
      <c r="L31" s="10" t="s">
        <v>73</v>
      </c>
      <c r="M31" s="7">
        <f t="shared" si="1"/>
        <v>37.90259</v>
      </c>
      <c r="N31" s="7"/>
      <c r="O31" s="7"/>
      <c r="P31" s="7"/>
      <c r="Q31" s="7">
        <v>37.90259</v>
      </c>
      <c r="R31" s="7">
        <f>22.87889+15.0237</f>
        <v>37.90259</v>
      </c>
      <c r="S31" s="7"/>
      <c r="T31" s="17"/>
      <c r="U31" s="17"/>
    </row>
    <row r="32" ht="45" customHeight="1" spans="1:21">
      <c r="A32" s="5"/>
      <c r="B32" s="7"/>
      <c r="C32" s="7" t="s">
        <v>189</v>
      </c>
      <c r="D32" s="7" t="s">
        <v>28</v>
      </c>
      <c r="E32" s="7" t="s">
        <v>142</v>
      </c>
      <c r="F32" s="7" t="s">
        <v>84</v>
      </c>
      <c r="G32" s="7" t="s">
        <v>178</v>
      </c>
      <c r="H32" s="7" t="s">
        <v>190</v>
      </c>
      <c r="I32" s="7" t="s">
        <v>180</v>
      </c>
      <c r="J32" s="7" t="s">
        <v>71</v>
      </c>
      <c r="K32" s="7" t="s">
        <v>72</v>
      </c>
      <c r="L32" s="10" t="s">
        <v>73</v>
      </c>
      <c r="M32" s="7">
        <f t="shared" si="1"/>
        <v>54</v>
      </c>
      <c r="N32" s="7"/>
      <c r="O32" s="7"/>
      <c r="P32" s="7"/>
      <c r="Q32" s="7">
        <v>54</v>
      </c>
      <c r="R32" s="7">
        <f>24.7844+13.430756</f>
        <v>38.215156</v>
      </c>
      <c r="S32" s="7"/>
      <c r="T32" s="17"/>
      <c r="U32" s="17"/>
    </row>
    <row r="33" ht="45" customHeight="1" spans="1:21">
      <c r="A33" s="5"/>
      <c r="B33" s="7"/>
      <c r="C33" s="7" t="s">
        <v>191</v>
      </c>
      <c r="D33" s="7" t="s">
        <v>28</v>
      </c>
      <c r="E33" s="7" t="s">
        <v>142</v>
      </c>
      <c r="F33" s="7" t="s">
        <v>192</v>
      </c>
      <c r="G33" s="7" t="s">
        <v>178</v>
      </c>
      <c r="H33" s="7" t="s">
        <v>193</v>
      </c>
      <c r="I33" s="7" t="s">
        <v>180</v>
      </c>
      <c r="J33" s="7" t="s">
        <v>71</v>
      </c>
      <c r="K33" s="7" t="s">
        <v>72</v>
      </c>
      <c r="L33" s="10" t="s">
        <v>73</v>
      </c>
      <c r="M33" s="7">
        <f t="shared" si="1"/>
        <v>21</v>
      </c>
      <c r="N33" s="12"/>
      <c r="O33" s="12"/>
      <c r="P33" s="12"/>
      <c r="Q33" s="12">
        <v>21</v>
      </c>
      <c r="R33" s="12">
        <f>13.987997+1.498+5.514003</f>
        <v>21</v>
      </c>
      <c r="S33" s="18"/>
      <c r="T33" s="17"/>
      <c r="U33" s="17"/>
    </row>
    <row r="34" ht="45" customHeight="1" spans="1:21">
      <c r="A34" s="5"/>
      <c r="B34" s="7"/>
      <c r="C34" s="7" t="s">
        <v>194</v>
      </c>
      <c r="D34" s="7" t="s">
        <v>28</v>
      </c>
      <c r="E34" s="7" t="s">
        <v>142</v>
      </c>
      <c r="F34" s="7" t="s">
        <v>163</v>
      </c>
      <c r="G34" s="7" t="s">
        <v>178</v>
      </c>
      <c r="H34" s="7" t="s">
        <v>195</v>
      </c>
      <c r="I34" s="7" t="s">
        <v>180</v>
      </c>
      <c r="J34" s="7" t="s">
        <v>71</v>
      </c>
      <c r="K34" s="7" t="s">
        <v>72</v>
      </c>
      <c r="L34" s="10" t="s">
        <v>73</v>
      </c>
      <c r="M34" s="7">
        <f t="shared" si="1"/>
        <v>17.9373</v>
      </c>
      <c r="N34" s="12"/>
      <c r="O34" s="12"/>
      <c r="P34" s="12"/>
      <c r="Q34" s="11">
        <v>17.9373</v>
      </c>
      <c r="R34" s="12">
        <f>1.311+3.0143+1.0013+4.2814+8.3293</f>
        <v>17.9373</v>
      </c>
      <c r="S34" s="18"/>
      <c r="T34" s="17"/>
      <c r="U34" s="17"/>
    </row>
    <row r="35" ht="45" customHeight="1" spans="1:21">
      <c r="A35" s="5"/>
      <c r="B35" s="7"/>
      <c r="C35" s="7" t="s">
        <v>196</v>
      </c>
      <c r="D35" s="7" t="s">
        <v>28</v>
      </c>
      <c r="E35" s="7" t="s">
        <v>142</v>
      </c>
      <c r="F35" s="7" t="s">
        <v>197</v>
      </c>
      <c r="G35" s="7" t="s">
        <v>178</v>
      </c>
      <c r="H35" s="7" t="s">
        <v>198</v>
      </c>
      <c r="I35" s="7" t="s">
        <v>180</v>
      </c>
      <c r="J35" s="7" t="s">
        <v>71</v>
      </c>
      <c r="K35" s="7" t="s">
        <v>72</v>
      </c>
      <c r="L35" s="10" t="s">
        <v>73</v>
      </c>
      <c r="M35" s="7">
        <f t="shared" si="1"/>
        <v>22.482379</v>
      </c>
      <c r="N35" s="12"/>
      <c r="O35" s="12"/>
      <c r="P35" s="12"/>
      <c r="Q35" s="11">
        <v>22.482379</v>
      </c>
      <c r="R35" s="12">
        <f>1.9733+4.4655+1.176+12.870079+0.9975</f>
        <v>21.482379</v>
      </c>
      <c r="S35" s="18"/>
      <c r="T35" s="17"/>
      <c r="U35" s="17"/>
    </row>
    <row r="36" ht="45" customHeight="1" spans="1:21">
      <c r="A36" s="5"/>
      <c r="B36" s="7"/>
      <c r="C36" s="7" t="s">
        <v>199</v>
      </c>
      <c r="D36" s="7" t="s">
        <v>28</v>
      </c>
      <c r="E36" s="7" t="s">
        <v>142</v>
      </c>
      <c r="F36" s="7" t="s">
        <v>200</v>
      </c>
      <c r="G36" s="7" t="s">
        <v>178</v>
      </c>
      <c r="H36" s="7" t="s">
        <v>201</v>
      </c>
      <c r="I36" s="7" t="s">
        <v>180</v>
      </c>
      <c r="J36" s="7" t="s">
        <v>71</v>
      </c>
      <c r="K36" s="7" t="s">
        <v>72</v>
      </c>
      <c r="L36" s="10" t="s">
        <v>73</v>
      </c>
      <c r="M36" s="7">
        <f t="shared" si="1"/>
        <v>11</v>
      </c>
      <c r="N36" s="12"/>
      <c r="O36" s="12"/>
      <c r="P36" s="12"/>
      <c r="Q36" s="12">
        <v>11</v>
      </c>
      <c r="R36" s="12">
        <f>4.4+4.4+2.2</f>
        <v>11</v>
      </c>
      <c r="S36" s="18"/>
      <c r="T36" s="17"/>
      <c r="U36" s="17"/>
    </row>
    <row r="37" ht="45" customHeight="1" spans="1:21">
      <c r="A37" s="5"/>
      <c r="B37" s="7"/>
      <c r="C37" s="7" t="s">
        <v>202</v>
      </c>
      <c r="D37" s="7" t="s">
        <v>28</v>
      </c>
      <c r="E37" s="7" t="s">
        <v>142</v>
      </c>
      <c r="F37" s="7" t="s">
        <v>60</v>
      </c>
      <c r="G37" s="7" t="s">
        <v>178</v>
      </c>
      <c r="H37" s="7" t="s">
        <v>203</v>
      </c>
      <c r="I37" s="7" t="s">
        <v>180</v>
      </c>
      <c r="J37" s="7" t="s">
        <v>71</v>
      </c>
      <c r="K37" s="7" t="s">
        <v>72</v>
      </c>
      <c r="L37" s="10" t="s">
        <v>73</v>
      </c>
      <c r="M37" s="7">
        <f t="shared" si="1"/>
        <v>9</v>
      </c>
      <c r="N37" s="12"/>
      <c r="O37" s="12"/>
      <c r="P37" s="12"/>
      <c r="Q37" s="12">
        <v>9</v>
      </c>
      <c r="R37" s="12">
        <f>2.3958+0.6055+3.667+2.3317</f>
        <v>9</v>
      </c>
      <c r="S37" s="18"/>
      <c r="T37" s="17"/>
      <c r="U37" s="17"/>
    </row>
    <row r="38" ht="45" customHeight="1" spans="1:21">
      <c r="A38" s="5"/>
      <c r="B38" s="7"/>
      <c r="C38" s="7" t="s">
        <v>204</v>
      </c>
      <c r="D38" s="7" t="s">
        <v>28</v>
      </c>
      <c r="E38" s="7" t="s">
        <v>142</v>
      </c>
      <c r="F38" s="7" t="s">
        <v>41</v>
      </c>
      <c r="G38" s="7" t="s">
        <v>178</v>
      </c>
      <c r="H38" s="7" t="s">
        <v>205</v>
      </c>
      <c r="I38" s="7" t="s">
        <v>180</v>
      </c>
      <c r="J38" s="7" t="s">
        <v>71</v>
      </c>
      <c r="K38" s="7" t="s">
        <v>72</v>
      </c>
      <c r="L38" s="10" t="s">
        <v>73</v>
      </c>
      <c r="M38" s="7">
        <f t="shared" si="1"/>
        <v>21.925779</v>
      </c>
      <c r="N38" s="12"/>
      <c r="O38" s="12"/>
      <c r="P38" s="12"/>
      <c r="Q38" s="11">
        <v>21.925779</v>
      </c>
      <c r="R38" s="12">
        <f>7.8315+2.6742+10.890079+0.53</f>
        <v>21.925779</v>
      </c>
      <c r="S38" s="18"/>
      <c r="T38" s="17"/>
      <c r="U38" s="17"/>
    </row>
    <row r="39" ht="45" customHeight="1" spans="1:21">
      <c r="A39" s="5"/>
      <c r="B39" s="7"/>
      <c r="C39" s="7" t="s">
        <v>206</v>
      </c>
      <c r="D39" s="7" t="s">
        <v>28</v>
      </c>
      <c r="E39" s="7" t="s">
        <v>142</v>
      </c>
      <c r="F39" s="7" t="s">
        <v>67</v>
      </c>
      <c r="G39" s="7" t="s">
        <v>178</v>
      </c>
      <c r="H39" s="7" t="s">
        <v>207</v>
      </c>
      <c r="I39" s="7" t="s">
        <v>180</v>
      </c>
      <c r="J39" s="7" t="s">
        <v>71</v>
      </c>
      <c r="K39" s="7" t="s">
        <v>72</v>
      </c>
      <c r="L39" s="10" t="s">
        <v>73</v>
      </c>
      <c r="M39" s="7">
        <f t="shared" si="1"/>
        <v>17</v>
      </c>
      <c r="N39" s="12"/>
      <c r="O39" s="12"/>
      <c r="P39" s="12"/>
      <c r="Q39" s="12">
        <v>17</v>
      </c>
      <c r="R39" s="12">
        <f>8.5+8.5</f>
        <v>17</v>
      </c>
      <c r="S39" s="18"/>
      <c r="T39" s="17"/>
      <c r="U39" s="17"/>
    </row>
    <row r="40" ht="45" customHeight="1" spans="1:21">
      <c r="A40" s="5"/>
      <c r="B40" s="7"/>
      <c r="C40" s="7" t="s">
        <v>208</v>
      </c>
      <c r="D40" s="7" t="s">
        <v>28</v>
      </c>
      <c r="E40" s="7" t="s">
        <v>142</v>
      </c>
      <c r="F40" s="7" t="s">
        <v>109</v>
      </c>
      <c r="G40" s="7" t="s">
        <v>178</v>
      </c>
      <c r="H40" s="7" t="s">
        <v>209</v>
      </c>
      <c r="I40" s="7" t="s">
        <v>180</v>
      </c>
      <c r="J40" s="7" t="s">
        <v>71</v>
      </c>
      <c r="K40" s="7" t="s">
        <v>72</v>
      </c>
      <c r="L40" s="10" t="s">
        <v>73</v>
      </c>
      <c r="M40" s="7">
        <f t="shared" si="1"/>
        <v>14.9861</v>
      </c>
      <c r="N40" s="12"/>
      <c r="O40" s="12"/>
      <c r="P40" s="12"/>
      <c r="Q40" s="11">
        <v>14.9861</v>
      </c>
      <c r="R40" s="12">
        <f>6.6748+3.169+1.4535+3.6888</f>
        <v>14.9861</v>
      </c>
      <c r="S40" s="18"/>
      <c r="T40" s="17"/>
      <c r="U40" s="17"/>
    </row>
    <row r="41" ht="45" customHeight="1" spans="1:21">
      <c r="A41" s="5"/>
      <c r="B41" s="7"/>
      <c r="C41" s="7" t="s">
        <v>210</v>
      </c>
      <c r="D41" s="7" t="s">
        <v>28</v>
      </c>
      <c r="E41" s="7" t="s">
        <v>142</v>
      </c>
      <c r="F41" s="7" t="s">
        <v>211</v>
      </c>
      <c r="G41" s="7" t="s">
        <v>178</v>
      </c>
      <c r="H41" s="7" t="s">
        <v>212</v>
      </c>
      <c r="I41" s="7" t="s">
        <v>180</v>
      </c>
      <c r="J41" s="7" t="s">
        <v>71</v>
      </c>
      <c r="K41" s="7" t="s">
        <v>72</v>
      </c>
      <c r="L41" s="10" t="s">
        <v>73</v>
      </c>
      <c r="M41" s="7">
        <f t="shared" si="1"/>
        <v>9</v>
      </c>
      <c r="N41" s="12"/>
      <c r="O41" s="12"/>
      <c r="P41" s="12"/>
      <c r="Q41" s="12">
        <v>9</v>
      </c>
      <c r="R41" s="12">
        <f>4.6884+3.9156+0.376</f>
        <v>8.98</v>
      </c>
      <c r="S41" s="18"/>
      <c r="T41" s="17"/>
      <c r="U41" s="17"/>
    </row>
    <row r="42" ht="45" customHeight="1" spans="1:21">
      <c r="A42" s="5"/>
      <c r="B42" s="7"/>
      <c r="C42" s="7" t="s">
        <v>213</v>
      </c>
      <c r="D42" s="7" t="s">
        <v>28</v>
      </c>
      <c r="E42" s="7" t="s">
        <v>142</v>
      </c>
      <c r="F42" s="7" t="s">
        <v>170</v>
      </c>
      <c r="G42" s="7" t="s">
        <v>178</v>
      </c>
      <c r="H42" s="7" t="s">
        <v>214</v>
      </c>
      <c r="I42" s="7" t="s">
        <v>180</v>
      </c>
      <c r="J42" s="7" t="s">
        <v>71</v>
      </c>
      <c r="K42" s="7" t="s">
        <v>72</v>
      </c>
      <c r="L42" s="10" t="s">
        <v>73</v>
      </c>
      <c r="M42" s="7">
        <f t="shared" si="1"/>
        <v>9.9989</v>
      </c>
      <c r="N42" s="12"/>
      <c r="O42" s="12"/>
      <c r="P42" s="12"/>
      <c r="Q42" s="11">
        <v>9.9989</v>
      </c>
      <c r="R42" s="12">
        <f>5.484+4.5149</f>
        <v>9.9989</v>
      </c>
      <c r="S42" s="18"/>
      <c r="T42" s="17"/>
      <c r="U42" s="17"/>
    </row>
    <row r="43" ht="45" customHeight="1" spans="1:21">
      <c r="A43" s="5"/>
      <c r="B43" s="7"/>
      <c r="C43" s="7" t="s">
        <v>215</v>
      </c>
      <c r="D43" s="7" t="s">
        <v>28</v>
      </c>
      <c r="E43" s="7" t="s">
        <v>142</v>
      </c>
      <c r="F43" s="7" t="s">
        <v>216</v>
      </c>
      <c r="G43" s="7" t="s">
        <v>178</v>
      </c>
      <c r="H43" s="7" t="s">
        <v>217</v>
      </c>
      <c r="I43" s="7" t="s">
        <v>180</v>
      </c>
      <c r="J43" s="7" t="s">
        <v>71</v>
      </c>
      <c r="K43" s="7" t="s">
        <v>72</v>
      </c>
      <c r="L43" s="10" t="s">
        <v>73</v>
      </c>
      <c r="M43" s="7">
        <f t="shared" si="1"/>
        <v>8.9965</v>
      </c>
      <c r="N43" s="12"/>
      <c r="O43" s="12"/>
      <c r="P43" s="12"/>
      <c r="Q43" s="11">
        <v>8.9965</v>
      </c>
      <c r="R43" s="12">
        <f>6.2965</f>
        <v>6.2965</v>
      </c>
      <c r="S43" s="18"/>
      <c r="T43" s="17"/>
      <c r="U43" s="17"/>
    </row>
    <row r="44" ht="45" customHeight="1" spans="1:21">
      <c r="A44" s="5"/>
      <c r="B44" s="7"/>
      <c r="C44" s="7" t="s">
        <v>218</v>
      </c>
      <c r="D44" s="7" t="s">
        <v>28</v>
      </c>
      <c r="E44" s="7" t="s">
        <v>142</v>
      </c>
      <c r="F44" s="7" t="s">
        <v>219</v>
      </c>
      <c r="G44" s="7" t="s">
        <v>178</v>
      </c>
      <c r="H44" s="7" t="s">
        <v>220</v>
      </c>
      <c r="I44" s="7" t="s">
        <v>180</v>
      </c>
      <c r="J44" s="7" t="s">
        <v>71</v>
      </c>
      <c r="K44" s="7" t="s">
        <v>72</v>
      </c>
      <c r="L44" s="10" t="s">
        <v>73</v>
      </c>
      <c r="M44" s="7">
        <f t="shared" si="1"/>
        <v>33</v>
      </c>
      <c r="N44" s="12"/>
      <c r="O44" s="12"/>
      <c r="P44" s="12"/>
      <c r="Q44" s="12">
        <v>33</v>
      </c>
      <c r="R44" s="12">
        <f>17.3502+15.6498</f>
        <v>33</v>
      </c>
      <c r="S44" s="18"/>
      <c r="T44" s="17"/>
      <c r="U44" s="17"/>
    </row>
    <row r="45" ht="45" customHeight="1" spans="1:21">
      <c r="A45" s="5"/>
      <c r="B45" s="7"/>
      <c r="C45" s="7" t="s">
        <v>221</v>
      </c>
      <c r="D45" s="7" t="s">
        <v>28</v>
      </c>
      <c r="E45" s="7" t="s">
        <v>142</v>
      </c>
      <c r="F45" s="7" t="s">
        <v>97</v>
      </c>
      <c r="G45" s="7" t="s">
        <v>178</v>
      </c>
      <c r="H45" s="7" t="s">
        <v>222</v>
      </c>
      <c r="I45" s="7" t="s">
        <v>180</v>
      </c>
      <c r="J45" s="7" t="s">
        <v>71</v>
      </c>
      <c r="K45" s="7" t="s">
        <v>72</v>
      </c>
      <c r="L45" s="10" t="s">
        <v>73</v>
      </c>
      <c r="M45" s="7">
        <f t="shared" si="1"/>
        <v>16</v>
      </c>
      <c r="N45" s="12"/>
      <c r="O45" s="12"/>
      <c r="P45" s="12"/>
      <c r="Q45" s="12">
        <v>16</v>
      </c>
      <c r="R45" s="12">
        <f>5.9094+3.242+6.8486</f>
        <v>16</v>
      </c>
      <c r="S45" s="18"/>
      <c r="T45" s="17"/>
      <c r="U45" s="17"/>
    </row>
    <row r="46" ht="45" customHeight="1" spans="1:21">
      <c r="A46" s="5"/>
      <c r="B46" s="7"/>
      <c r="C46" s="7" t="s">
        <v>223</v>
      </c>
      <c r="D46" s="7" t="s">
        <v>28</v>
      </c>
      <c r="E46" s="7" t="s">
        <v>142</v>
      </c>
      <c r="F46" s="7" t="s">
        <v>224</v>
      </c>
      <c r="G46" s="7" t="s">
        <v>178</v>
      </c>
      <c r="H46" s="7" t="s">
        <v>225</v>
      </c>
      <c r="I46" s="7" t="s">
        <v>180</v>
      </c>
      <c r="J46" s="7" t="s">
        <v>71</v>
      </c>
      <c r="K46" s="7" t="s">
        <v>72</v>
      </c>
      <c r="L46" s="10" t="s">
        <v>73</v>
      </c>
      <c r="M46" s="7">
        <f t="shared" si="1"/>
        <v>15.951429</v>
      </c>
      <c r="N46" s="12"/>
      <c r="O46" s="12"/>
      <c r="P46" s="12"/>
      <c r="Q46" s="11">
        <v>15.951429</v>
      </c>
      <c r="R46" s="12">
        <f>8.0239+7.927529</f>
        <v>15.951429</v>
      </c>
      <c r="S46" s="18"/>
      <c r="T46" s="17"/>
      <c r="U46" s="17"/>
    </row>
    <row r="47" ht="45" customHeight="1" spans="1:21">
      <c r="A47" s="5"/>
      <c r="B47" s="7"/>
      <c r="C47" s="7" t="s">
        <v>226</v>
      </c>
      <c r="D47" s="7" t="s">
        <v>28</v>
      </c>
      <c r="E47" s="7" t="s">
        <v>142</v>
      </c>
      <c r="F47" s="7" t="s">
        <v>227</v>
      </c>
      <c r="G47" s="7" t="s">
        <v>178</v>
      </c>
      <c r="H47" s="7" t="s">
        <v>228</v>
      </c>
      <c r="I47" s="7" t="s">
        <v>180</v>
      </c>
      <c r="J47" s="7" t="s">
        <v>71</v>
      </c>
      <c r="K47" s="7" t="s">
        <v>72</v>
      </c>
      <c r="L47" s="10" t="s">
        <v>73</v>
      </c>
      <c r="M47" s="7">
        <f t="shared" si="1"/>
        <v>23</v>
      </c>
      <c r="N47" s="12"/>
      <c r="O47" s="12"/>
      <c r="P47" s="12"/>
      <c r="Q47" s="12">
        <v>23</v>
      </c>
      <c r="R47" s="12">
        <v>23</v>
      </c>
      <c r="S47" s="18"/>
      <c r="T47" s="17"/>
      <c r="U47" s="17"/>
    </row>
    <row r="48" ht="45" customHeight="1" spans="1:21">
      <c r="A48" s="5"/>
      <c r="B48" s="7"/>
      <c r="C48" s="7" t="s">
        <v>229</v>
      </c>
      <c r="D48" s="7" t="s">
        <v>28</v>
      </c>
      <c r="E48" s="7" t="s">
        <v>142</v>
      </c>
      <c r="F48" s="7" t="s">
        <v>77</v>
      </c>
      <c r="G48" s="7" t="s">
        <v>178</v>
      </c>
      <c r="H48" s="7" t="s">
        <v>230</v>
      </c>
      <c r="I48" s="7" t="s">
        <v>180</v>
      </c>
      <c r="J48" s="7" t="s">
        <v>71</v>
      </c>
      <c r="K48" s="7" t="s">
        <v>72</v>
      </c>
      <c r="L48" s="10" t="s">
        <v>73</v>
      </c>
      <c r="M48" s="7">
        <f t="shared" si="1"/>
        <v>12</v>
      </c>
      <c r="N48" s="12"/>
      <c r="O48" s="12"/>
      <c r="P48" s="12"/>
      <c r="Q48" s="12">
        <v>12</v>
      </c>
      <c r="R48" s="12">
        <f>11.0634+0.24</f>
        <v>11.3034</v>
      </c>
      <c r="S48" s="18"/>
      <c r="T48" s="17"/>
      <c r="U48" s="17"/>
    </row>
    <row r="49" ht="45" customHeight="1" spans="1:21">
      <c r="A49" s="5"/>
      <c r="B49" s="7"/>
      <c r="C49" s="7" t="s">
        <v>231</v>
      </c>
      <c r="D49" s="7" t="s">
        <v>28</v>
      </c>
      <c r="E49" s="7" t="s">
        <v>142</v>
      </c>
      <c r="F49" s="7" t="s">
        <v>49</v>
      </c>
      <c r="G49" s="7" t="s">
        <v>178</v>
      </c>
      <c r="H49" s="7" t="s">
        <v>232</v>
      </c>
      <c r="I49" s="7" t="s">
        <v>180</v>
      </c>
      <c r="J49" s="7" t="s">
        <v>71</v>
      </c>
      <c r="K49" s="7" t="s">
        <v>72</v>
      </c>
      <c r="L49" s="10" t="s">
        <v>73</v>
      </c>
      <c r="M49" s="7">
        <f t="shared" si="1"/>
        <v>13.1343</v>
      </c>
      <c r="N49" s="12"/>
      <c r="O49" s="12"/>
      <c r="P49" s="12"/>
      <c r="Q49" s="11">
        <v>13.1343</v>
      </c>
      <c r="R49" s="12">
        <f>6.4995+6.6348</f>
        <v>13.1343</v>
      </c>
      <c r="S49" s="18"/>
      <c r="T49" s="17"/>
      <c r="U49" s="17"/>
    </row>
    <row r="50" ht="45" customHeight="1" spans="1:21">
      <c r="A50" s="5"/>
      <c r="B50" s="7"/>
      <c r="C50" s="7" t="s">
        <v>233</v>
      </c>
      <c r="D50" s="7" t="s">
        <v>28</v>
      </c>
      <c r="E50" s="7" t="s">
        <v>142</v>
      </c>
      <c r="F50" s="7" t="s">
        <v>234</v>
      </c>
      <c r="G50" s="7" t="s">
        <v>178</v>
      </c>
      <c r="H50" s="7" t="s">
        <v>235</v>
      </c>
      <c r="I50" s="7" t="s">
        <v>180</v>
      </c>
      <c r="J50" s="7" t="s">
        <v>71</v>
      </c>
      <c r="K50" s="7" t="s">
        <v>72</v>
      </c>
      <c r="L50" s="10" t="s">
        <v>73</v>
      </c>
      <c r="M50" s="7">
        <f t="shared" si="1"/>
        <v>9</v>
      </c>
      <c r="N50" s="12"/>
      <c r="O50" s="12"/>
      <c r="P50" s="12"/>
      <c r="Q50" s="12">
        <v>9</v>
      </c>
      <c r="R50" s="12">
        <v>9</v>
      </c>
      <c r="S50" s="18"/>
      <c r="T50" s="17"/>
      <c r="U50" s="17"/>
    </row>
    <row r="51" ht="45" customHeight="1" spans="1:21">
      <c r="A51" s="5"/>
      <c r="B51" s="7"/>
      <c r="C51" s="7" t="s">
        <v>236</v>
      </c>
      <c r="D51" s="7" t="s">
        <v>28</v>
      </c>
      <c r="E51" s="7" t="s">
        <v>142</v>
      </c>
      <c r="F51" s="7" t="s">
        <v>237</v>
      </c>
      <c r="G51" s="7" t="s">
        <v>178</v>
      </c>
      <c r="H51" s="7" t="s">
        <v>238</v>
      </c>
      <c r="I51" s="7" t="s">
        <v>180</v>
      </c>
      <c r="J51" s="7" t="s">
        <v>71</v>
      </c>
      <c r="K51" s="7" t="s">
        <v>72</v>
      </c>
      <c r="L51" s="10" t="s">
        <v>73</v>
      </c>
      <c r="M51" s="7">
        <f t="shared" si="1"/>
        <v>10</v>
      </c>
      <c r="N51" s="12"/>
      <c r="O51" s="12"/>
      <c r="P51" s="12"/>
      <c r="Q51" s="12">
        <v>10</v>
      </c>
      <c r="R51" s="12">
        <v>10</v>
      </c>
      <c r="S51" s="18"/>
      <c r="T51" s="17"/>
      <c r="U51" s="17"/>
    </row>
    <row r="52" ht="45" customHeight="1" spans="1:21">
      <c r="A52" s="5"/>
      <c r="B52" s="7"/>
      <c r="C52" s="7" t="s">
        <v>239</v>
      </c>
      <c r="D52" s="7" t="s">
        <v>28</v>
      </c>
      <c r="E52" s="7" t="s">
        <v>142</v>
      </c>
      <c r="F52" s="7" t="s">
        <v>240</v>
      </c>
      <c r="G52" s="7" t="s">
        <v>178</v>
      </c>
      <c r="H52" s="7" t="s">
        <v>241</v>
      </c>
      <c r="I52" s="7" t="s">
        <v>180</v>
      </c>
      <c r="J52" s="7" t="s">
        <v>71</v>
      </c>
      <c r="K52" s="7" t="s">
        <v>72</v>
      </c>
      <c r="L52" s="10" t="s">
        <v>73</v>
      </c>
      <c r="M52" s="7">
        <f t="shared" si="1"/>
        <v>5</v>
      </c>
      <c r="N52" s="12"/>
      <c r="O52" s="12"/>
      <c r="P52" s="12"/>
      <c r="Q52" s="12">
        <v>5</v>
      </c>
      <c r="R52" s="12">
        <f>2.4221+0.6+0.5079+1.47</f>
        <v>5</v>
      </c>
      <c r="S52" s="18"/>
      <c r="T52" s="17"/>
      <c r="U52" s="17"/>
    </row>
    <row r="53" ht="45" customHeight="1" spans="1:21">
      <c r="A53" s="5"/>
      <c r="B53" s="7"/>
      <c r="C53" s="7" t="s">
        <v>242</v>
      </c>
      <c r="D53" s="7" t="s">
        <v>28</v>
      </c>
      <c r="E53" s="7" t="s">
        <v>142</v>
      </c>
      <c r="F53" s="7" t="s">
        <v>243</v>
      </c>
      <c r="G53" s="7" t="s">
        <v>178</v>
      </c>
      <c r="H53" s="7" t="s">
        <v>244</v>
      </c>
      <c r="I53" s="7" t="s">
        <v>180</v>
      </c>
      <c r="J53" s="7" t="s">
        <v>71</v>
      </c>
      <c r="K53" s="7" t="s">
        <v>72</v>
      </c>
      <c r="L53" s="10" t="s">
        <v>73</v>
      </c>
      <c r="M53" s="7">
        <f t="shared" si="1"/>
        <v>6</v>
      </c>
      <c r="N53" s="12"/>
      <c r="O53" s="12"/>
      <c r="P53" s="12"/>
      <c r="Q53" s="12">
        <v>6</v>
      </c>
      <c r="R53" s="12">
        <f>3+3</f>
        <v>6</v>
      </c>
      <c r="S53" s="18"/>
      <c r="T53" s="17"/>
      <c r="U53" s="17"/>
    </row>
    <row r="54" ht="45" customHeight="1" spans="1:21">
      <c r="A54" s="5"/>
      <c r="B54" s="7"/>
      <c r="C54" s="7" t="s">
        <v>245</v>
      </c>
      <c r="D54" s="7" t="s">
        <v>28</v>
      </c>
      <c r="E54" s="7" t="s">
        <v>142</v>
      </c>
      <c r="F54" s="7" t="s">
        <v>246</v>
      </c>
      <c r="G54" s="7" t="s">
        <v>178</v>
      </c>
      <c r="H54" s="7" t="s">
        <v>246</v>
      </c>
      <c r="I54" s="7" t="s">
        <v>180</v>
      </c>
      <c r="J54" s="7" t="s">
        <v>71</v>
      </c>
      <c r="K54" s="7" t="s">
        <v>72</v>
      </c>
      <c r="L54" s="10" t="s">
        <v>73</v>
      </c>
      <c r="M54" s="7">
        <f t="shared" si="1"/>
        <v>2</v>
      </c>
      <c r="N54" s="12"/>
      <c r="O54" s="12"/>
      <c r="P54" s="12"/>
      <c r="Q54" s="12">
        <v>2</v>
      </c>
      <c r="R54" s="12">
        <f>1+1</f>
        <v>2</v>
      </c>
      <c r="S54" s="18"/>
      <c r="T54" s="17"/>
      <c r="U54" s="17"/>
    </row>
    <row r="55" ht="45" customHeight="1" spans="1:21">
      <c r="A55" s="5"/>
      <c r="B55" s="7"/>
      <c r="C55" s="7" t="s">
        <v>247</v>
      </c>
      <c r="D55" s="7" t="s">
        <v>28</v>
      </c>
      <c r="E55" s="7" t="s">
        <v>142</v>
      </c>
      <c r="F55" s="7" t="s">
        <v>248</v>
      </c>
      <c r="G55" s="7" t="s">
        <v>178</v>
      </c>
      <c r="H55" s="7" t="s">
        <v>248</v>
      </c>
      <c r="I55" s="7" t="s">
        <v>180</v>
      </c>
      <c r="J55" s="7" t="s">
        <v>71</v>
      </c>
      <c r="K55" s="7" t="s">
        <v>72</v>
      </c>
      <c r="L55" s="10" t="s">
        <v>73</v>
      </c>
      <c r="M55" s="7">
        <f t="shared" si="1"/>
        <v>2</v>
      </c>
      <c r="N55" s="12"/>
      <c r="O55" s="12"/>
      <c r="P55" s="12"/>
      <c r="Q55" s="12">
        <v>2</v>
      </c>
      <c r="R55" s="12">
        <v>2</v>
      </c>
      <c r="S55" s="18"/>
      <c r="T55" s="19"/>
      <c r="U55" s="19"/>
    </row>
    <row r="56" ht="45" customHeight="1" spans="1:21">
      <c r="A56" s="5">
        <f>MAX($A$5:A55)+1</f>
        <v>25</v>
      </c>
      <c r="B56" s="7" t="s">
        <v>249</v>
      </c>
      <c r="C56" s="7" t="s">
        <v>250</v>
      </c>
      <c r="D56" s="7" t="s">
        <v>39</v>
      </c>
      <c r="E56" s="7" t="s">
        <v>59</v>
      </c>
      <c r="F56" s="7" t="s">
        <v>219</v>
      </c>
      <c r="G56" s="7" t="s">
        <v>30</v>
      </c>
      <c r="H56" s="7" t="s">
        <v>251</v>
      </c>
      <c r="I56" s="7" t="s">
        <v>252</v>
      </c>
      <c r="J56" s="7" t="s">
        <v>33</v>
      </c>
      <c r="K56" s="7" t="s">
        <v>34</v>
      </c>
      <c r="L56" s="10" t="s">
        <v>35</v>
      </c>
      <c r="M56" s="7">
        <f t="shared" si="1"/>
        <v>150.921</v>
      </c>
      <c r="N56" s="11">
        <v>150.921</v>
      </c>
      <c r="O56" s="12"/>
      <c r="P56" s="12"/>
      <c r="Q56" s="12"/>
      <c r="R56" s="12">
        <f>75.515+30.206+30.206</f>
        <v>135.927</v>
      </c>
      <c r="S56" s="7" t="s">
        <v>253</v>
      </c>
      <c r="T56" s="7" t="s">
        <v>254</v>
      </c>
      <c r="U56" s="7" t="s">
        <v>37</v>
      </c>
    </row>
    <row r="57" ht="45" customHeight="1" spans="1:21">
      <c r="A57" s="5">
        <f>MAX($A$5:A56)+1</f>
        <v>26</v>
      </c>
      <c r="B57" s="7" t="s">
        <v>249</v>
      </c>
      <c r="C57" s="7" t="s">
        <v>255</v>
      </c>
      <c r="D57" s="7" t="s">
        <v>39</v>
      </c>
      <c r="E57" s="7" t="s">
        <v>40</v>
      </c>
      <c r="F57" s="7" t="s">
        <v>170</v>
      </c>
      <c r="G57" s="7" t="s">
        <v>30</v>
      </c>
      <c r="H57" s="7" t="s">
        <v>256</v>
      </c>
      <c r="I57" s="7" t="s">
        <v>257</v>
      </c>
      <c r="J57" s="7" t="s">
        <v>33</v>
      </c>
      <c r="K57" s="7" t="s">
        <v>34</v>
      </c>
      <c r="L57" s="10" t="s">
        <v>35</v>
      </c>
      <c r="M57" s="7">
        <f t="shared" si="1"/>
        <v>78.178404</v>
      </c>
      <c r="N57" s="11">
        <v>78.178404</v>
      </c>
      <c r="O57" s="12"/>
      <c r="P57" s="12"/>
      <c r="Q57" s="12"/>
      <c r="R57" s="12">
        <f>40.965+32.79672+4.416684</f>
        <v>78.178404</v>
      </c>
      <c r="S57" s="7" t="s">
        <v>173</v>
      </c>
      <c r="T57" s="7" t="s">
        <v>174</v>
      </c>
      <c r="U57" s="7" t="s">
        <v>37</v>
      </c>
    </row>
    <row r="58" ht="45" customHeight="1" spans="1:21">
      <c r="A58" s="5">
        <f>MAX($A$5:A57)+1</f>
        <v>27</v>
      </c>
      <c r="B58" s="7" t="s">
        <v>249</v>
      </c>
      <c r="C58" s="7" t="s">
        <v>258</v>
      </c>
      <c r="D58" s="7" t="s">
        <v>47</v>
      </c>
      <c r="E58" s="7" t="s">
        <v>169</v>
      </c>
      <c r="F58" s="7" t="s">
        <v>103</v>
      </c>
      <c r="G58" s="7" t="s">
        <v>30</v>
      </c>
      <c r="H58" s="7" t="s">
        <v>259</v>
      </c>
      <c r="I58" s="7" t="s">
        <v>260</v>
      </c>
      <c r="J58" s="7" t="s">
        <v>33</v>
      </c>
      <c r="K58" s="7" t="s">
        <v>34</v>
      </c>
      <c r="L58" s="10" t="s">
        <v>35</v>
      </c>
      <c r="M58" s="7">
        <f t="shared" si="1"/>
        <v>169.8</v>
      </c>
      <c r="N58" s="11">
        <v>169.8</v>
      </c>
      <c r="O58" s="12"/>
      <c r="P58" s="12"/>
      <c r="Q58" s="12"/>
      <c r="R58" s="12">
        <f>135.84+33.96</f>
        <v>169.8</v>
      </c>
      <c r="S58" s="7" t="s">
        <v>261</v>
      </c>
      <c r="T58" s="7" t="s">
        <v>262</v>
      </c>
      <c r="U58" s="7" t="s">
        <v>57</v>
      </c>
    </row>
    <row r="59" ht="45" customHeight="1" spans="1:21">
      <c r="A59" s="5">
        <f>MAX($A$5:A58)+1</f>
        <v>28</v>
      </c>
      <c r="B59" s="7" t="s">
        <v>249</v>
      </c>
      <c r="C59" s="7" t="s">
        <v>263</v>
      </c>
      <c r="D59" s="7" t="s">
        <v>39</v>
      </c>
      <c r="E59" s="7" t="s">
        <v>40</v>
      </c>
      <c r="F59" s="7" t="s">
        <v>84</v>
      </c>
      <c r="G59" s="7" t="s">
        <v>30</v>
      </c>
      <c r="H59" s="7" t="s">
        <v>264</v>
      </c>
      <c r="I59" s="7" t="s">
        <v>265</v>
      </c>
      <c r="J59" s="7" t="s">
        <v>33</v>
      </c>
      <c r="K59" s="7" t="s">
        <v>34</v>
      </c>
      <c r="L59" s="10" t="s">
        <v>35</v>
      </c>
      <c r="M59" s="7">
        <f t="shared" si="1"/>
        <v>18.264406</v>
      </c>
      <c r="N59" s="11">
        <v>18.264406</v>
      </c>
      <c r="O59" s="12"/>
      <c r="P59" s="12"/>
      <c r="Q59" s="12"/>
      <c r="R59" s="12">
        <f>16.974+1.290406</f>
        <v>18.264406</v>
      </c>
      <c r="S59" s="7" t="s">
        <v>266</v>
      </c>
      <c r="T59" s="7" t="s">
        <v>267</v>
      </c>
      <c r="U59" s="7" t="s">
        <v>37</v>
      </c>
    </row>
    <row r="60" ht="45" customHeight="1" spans="1:21">
      <c r="A60" s="5">
        <f>MAX($A$5:A59)+1</f>
        <v>29</v>
      </c>
      <c r="B60" s="7" t="s">
        <v>249</v>
      </c>
      <c r="C60" s="7" t="s">
        <v>268</v>
      </c>
      <c r="D60" s="7" t="s">
        <v>47</v>
      </c>
      <c r="E60" s="7" t="s">
        <v>269</v>
      </c>
      <c r="F60" s="7" t="s">
        <v>197</v>
      </c>
      <c r="G60" s="7" t="s">
        <v>30</v>
      </c>
      <c r="H60" s="7" t="s">
        <v>270</v>
      </c>
      <c r="I60" s="7" t="s">
        <v>271</v>
      </c>
      <c r="J60" s="7" t="s">
        <v>33</v>
      </c>
      <c r="K60" s="7" t="s">
        <v>34</v>
      </c>
      <c r="L60" s="10" t="s">
        <v>35</v>
      </c>
      <c r="M60" s="7">
        <f t="shared" si="1"/>
        <v>255.07093</v>
      </c>
      <c r="N60" s="11">
        <v>255.07093</v>
      </c>
      <c r="O60" s="12"/>
      <c r="P60" s="12"/>
      <c r="Q60" s="12"/>
      <c r="R60" s="12">
        <f>199.4743+55.59663</f>
        <v>255.07093</v>
      </c>
      <c r="S60" s="7" t="s">
        <v>272</v>
      </c>
      <c r="T60" s="7" t="s">
        <v>273</v>
      </c>
      <c r="U60" s="7" t="s">
        <v>175</v>
      </c>
    </row>
    <row r="61" ht="45" customHeight="1" spans="1:21">
      <c r="A61" s="5">
        <f>MAX($A$5:A60)+1</f>
        <v>30</v>
      </c>
      <c r="B61" s="7" t="s">
        <v>274</v>
      </c>
      <c r="C61" s="7" t="s">
        <v>275</v>
      </c>
      <c r="D61" s="7" t="s">
        <v>47</v>
      </c>
      <c r="E61" s="7" t="s">
        <v>66</v>
      </c>
      <c r="F61" s="7" t="s">
        <v>219</v>
      </c>
      <c r="G61" s="7" t="s">
        <v>30</v>
      </c>
      <c r="H61" s="7" t="s">
        <v>276</v>
      </c>
      <c r="I61" s="7" t="s">
        <v>277</v>
      </c>
      <c r="J61" s="7" t="s">
        <v>33</v>
      </c>
      <c r="K61" s="7" t="s">
        <v>34</v>
      </c>
      <c r="L61" s="10" t="s">
        <v>35</v>
      </c>
      <c r="M61" s="7">
        <f t="shared" si="1"/>
        <v>209.0909</v>
      </c>
      <c r="N61" s="11">
        <v>209.0909</v>
      </c>
      <c r="O61" s="12"/>
      <c r="P61" s="12"/>
      <c r="Q61" s="12"/>
      <c r="R61" s="12">
        <f>104.61+41.844+41.844</f>
        <v>188.298</v>
      </c>
      <c r="S61" s="7" t="s">
        <v>278</v>
      </c>
      <c r="T61" s="7" t="s">
        <v>279</v>
      </c>
      <c r="U61" s="7" t="s">
        <v>175</v>
      </c>
    </row>
    <row r="62" ht="45" customHeight="1" spans="1:21">
      <c r="A62" s="5">
        <f>MAX($A$5:A61)+1</f>
        <v>31</v>
      </c>
      <c r="B62" s="7" t="s">
        <v>274</v>
      </c>
      <c r="C62" s="7" t="s">
        <v>280</v>
      </c>
      <c r="D62" s="7" t="s">
        <v>39</v>
      </c>
      <c r="E62" s="7" t="s">
        <v>59</v>
      </c>
      <c r="F62" s="7" t="s">
        <v>103</v>
      </c>
      <c r="G62" s="7" t="s">
        <v>30</v>
      </c>
      <c r="H62" s="7" t="s">
        <v>281</v>
      </c>
      <c r="I62" s="7" t="s">
        <v>282</v>
      </c>
      <c r="J62" s="7" t="s">
        <v>33</v>
      </c>
      <c r="K62" s="7" t="s">
        <v>34</v>
      </c>
      <c r="L62" s="10" t="s">
        <v>35</v>
      </c>
      <c r="M62" s="7">
        <f t="shared" si="1"/>
        <v>85.67</v>
      </c>
      <c r="N62" s="11">
        <v>85.67</v>
      </c>
      <c r="O62" s="12"/>
      <c r="P62" s="12"/>
      <c r="Q62" s="12"/>
      <c r="R62" s="12">
        <f>42.835+25.701+17.134</f>
        <v>85.67</v>
      </c>
      <c r="S62" s="7" t="s">
        <v>283</v>
      </c>
      <c r="T62" s="7" t="s">
        <v>284</v>
      </c>
      <c r="U62" s="7" t="s">
        <v>37</v>
      </c>
    </row>
    <row r="63" ht="45" customHeight="1" spans="1:21">
      <c r="A63" s="5">
        <f>MAX($A$5:A62)+1</f>
        <v>32</v>
      </c>
      <c r="B63" s="7" t="s">
        <v>274</v>
      </c>
      <c r="C63" s="7" t="s">
        <v>285</v>
      </c>
      <c r="D63" s="7" t="s">
        <v>47</v>
      </c>
      <c r="E63" s="7" t="s">
        <v>269</v>
      </c>
      <c r="F63" s="7" t="s">
        <v>211</v>
      </c>
      <c r="G63" s="7" t="s">
        <v>30</v>
      </c>
      <c r="H63" s="7" t="s">
        <v>286</v>
      </c>
      <c r="I63" s="7" t="s">
        <v>287</v>
      </c>
      <c r="J63" s="7" t="s">
        <v>33</v>
      </c>
      <c r="K63" s="7" t="s">
        <v>34</v>
      </c>
      <c r="L63" s="10" t="s">
        <v>35</v>
      </c>
      <c r="M63" s="7">
        <f t="shared" si="1"/>
        <v>193.2</v>
      </c>
      <c r="N63" s="11">
        <v>193.2</v>
      </c>
      <c r="O63" s="12"/>
      <c r="P63" s="12"/>
      <c r="Q63" s="12"/>
      <c r="R63" s="12">
        <f>96.6+48.3+48.3</f>
        <v>193.2</v>
      </c>
      <c r="S63" s="7" t="s">
        <v>288</v>
      </c>
      <c r="T63" s="7" t="s">
        <v>289</v>
      </c>
      <c r="U63" s="7" t="s">
        <v>175</v>
      </c>
    </row>
    <row r="64" ht="45" customHeight="1" spans="1:21">
      <c r="A64" s="5">
        <f>MAX($A$5:A63)+1</f>
        <v>33</v>
      </c>
      <c r="B64" s="7" t="s">
        <v>274</v>
      </c>
      <c r="C64" s="7" t="s">
        <v>290</v>
      </c>
      <c r="D64" s="7" t="s">
        <v>47</v>
      </c>
      <c r="E64" s="7" t="s">
        <v>66</v>
      </c>
      <c r="F64" s="7" t="s">
        <v>49</v>
      </c>
      <c r="G64" s="7" t="s">
        <v>30</v>
      </c>
      <c r="H64" s="7" t="s">
        <v>291</v>
      </c>
      <c r="I64" s="7" t="s">
        <v>292</v>
      </c>
      <c r="J64" s="7" t="s">
        <v>33</v>
      </c>
      <c r="K64" s="7" t="s">
        <v>34</v>
      </c>
      <c r="L64" s="10" t="s">
        <v>35</v>
      </c>
      <c r="M64" s="7">
        <f t="shared" si="1"/>
        <v>56.40507</v>
      </c>
      <c r="N64" s="11">
        <v>56.40507</v>
      </c>
      <c r="O64" s="12"/>
      <c r="P64" s="12"/>
      <c r="Q64" s="12"/>
      <c r="R64" s="12">
        <f>28.57+11.428+11.428+4.97907</f>
        <v>56.40507</v>
      </c>
      <c r="S64" s="7" t="s">
        <v>293</v>
      </c>
      <c r="T64" s="7" t="s">
        <v>294</v>
      </c>
      <c r="U64" s="7" t="s">
        <v>175</v>
      </c>
    </row>
    <row r="65" ht="45" customHeight="1" spans="1:21">
      <c r="A65" s="5">
        <f>MAX($A$5:A64)+1</f>
        <v>34</v>
      </c>
      <c r="B65" s="7" t="s">
        <v>274</v>
      </c>
      <c r="C65" s="7" t="s">
        <v>295</v>
      </c>
      <c r="D65" s="7" t="s">
        <v>47</v>
      </c>
      <c r="E65" s="7" t="s">
        <v>66</v>
      </c>
      <c r="F65" s="7" t="s">
        <v>60</v>
      </c>
      <c r="G65" s="7" t="s">
        <v>30</v>
      </c>
      <c r="H65" s="7" t="s">
        <v>296</v>
      </c>
      <c r="I65" s="7" t="s">
        <v>297</v>
      </c>
      <c r="J65" s="7" t="s">
        <v>33</v>
      </c>
      <c r="K65" s="7" t="s">
        <v>34</v>
      </c>
      <c r="L65" s="10" t="s">
        <v>35</v>
      </c>
      <c r="M65" s="7">
        <f t="shared" si="1"/>
        <v>214.996</v>
      </c>
      <c r="N65" s="11">
        <v>214.996</v>
      </c>
      <c r="O65" s="12"/>
      <c r="P65" s="12"/>
      <c r="Q65" s="12"/>
      <c r="R65" s="12">
        <f>107.498+64.5684+42.9296</f>
        <v>214.996</v>
      </c>
      <c r="S65" s="7" t="s">
        <v>298</v>
      </c>
      <c r="T65" s="7" t="s">
        <v>299</v>
      </c>
      <c r="U65" s="7" t="s">
        <v>175</v>
      </c>
    </row>
    <row r="66" ht="45" customHeight="1" spans="1:21">
      <c r="A66" s="5">
        <f>MAX($A$5:A65)+1</f>
        <v>35</v>
      </c>
      <c r="B66" s="7" t="s">
        <v>274</v>
      </c>
      <c r="C66" s="7" t="s">
        <v>300</v>
      </c>
      <c r="D66" s="7" t="s">
        <v>47</v>
      </c>
      <c r="E66" s="7" t="s">
        <v>66</v>
      </c>
      <c r="F66" s="7" t="s">
        <v>67</v>
      </c>
      <c r="G66" s="7" t="s">
        <v>30</v>
      </c>
      <c r="H66" s="7" t="s">
        <v>301</v>
      </c>
      <c r="I66" s="7" t="s">
        <v>302</v>
      </c>
      <c r="J66" s="7" t="s">
        <v>33</v>
      </c>
      <c r="K66" s="7" t="s">
        <v>34</v>
      </c>
      <c r="L66" s="10" t="s">
        <v>35</v>
      </c>
      <c r="M66" s="7">
        <f t="shared" si="1"/>
        <v>339.79</v>
      </c>
      <c r="N66" s="11">
        <v>339.79</v>
      </c>
      <c r="O66" s="12"/>
      <c r="P66" s="12"/>
      <c r="Q66" s="12"/>
      <c r="R66" s="12">
        <f>169.895+67.958+67.958</f>
        <v>305.811</v>
      </c>
      <c r="S66" s="7" t="s">
        <v>303</v>
      </c>
      <c r="T66" s="7" t="s">
        <v>304</v>
      </c>
      <c r="U66" s="7" t="s">
        <v>175</v>
      </c>
    </row>
    <row r="67" ht="45" customHeight="1" spans="1:21">
      <c r="A67" s="5">
        <f>MAX($A$5:A66)+1</f>
        <v>36</v>
      </c>
      <c r="B67" s="7" t="s">
        <v>274</v>
      </c>
      <c r="C67" s="7" t="s">
        <v>305</v>
      </c>
      <c r="D67" s="7" t="s">
        <v>47</v>
      </c>
      <c r="E67" s="7" t="s">
        <v>48</v>
      </c>
      <c r="F67" s="7" t="s">
        <v>187</v>
      </c>
      <c r="G67" s="7" t="s">
        <v>30</v>
      </c>
      <c r="H67" s="7" t="s">
        <v>306</v>
      </c>
      <c r="I67" s="7" t="s">
        <v>307</v>
      </c>
      <c r="J67" s="7" t="s">
        <v>33</v>
      </c>
      <c r="K67" s="7" t="s">
        <v>34</v>
      </c>
      <c r="L67" s="10" t="s">
        <v>35</v>
      </c>
      <c r="M67" s="7">
        <f t="shared" si="1"/>
        <v>358.25</v>
      </c>
      <c r="N67" s="11">
        <v>358.25</v>
      </c>
      <c r="O67" s="12"/>
      <c r="P67" s="12"/>
      <c r="Q67" s="12"/>
      <c r="R67" s="12">
        <f>153.385+36.036+61.354+15.444</f>
        <v>266.219</v>
      </c>
      <c r="S67" s="7" t="s">
        <v>308</v>
      </c>
      <c r="T67" s="7" t="s">
        <v>309</v>
      </c>
      <c r="U67" s="7" t="s">
        <v>175</v>
      </c>
    </row>
    <row r="68" ht="45" customHeight="1" spans="1:21">
      <c r="A68" s="5">
        <f>MAX($A$5:A67)+1</f>
        <v>37</v>
      </c>
      <c r="B68" s="7" t="s">
        <v>274</v>
      </c>
      <c r="C68" s="7" t="s">
        <v>310</v>
      </c>
      <c r="D68" s="7" t="s">
        <v>47</v>
      </c>
      <c r="E68" s="7" t="s">
        <v>169</v>
      </c>
      <c r="F68" s="7" t="s">
        <v>84</v>
      </c>
      <c r="G68" s="7" t="s">
        <v>30</v>
      </c>
      <c r="H68" s="7" t="s">
        <v>311</v>
      </c>
      <c r="I68" s="7" t="s">
        <v>312</v>
      </c>
      <c r="J68" s="7" t="s">
        <v>33</v>
      </c>
      <c r="K68" s="7" t="s">
        <v>34</v>
      </c>
      <c r="L68" s="10" t="s">
        <v>35</v>
      </c>
      <c r="M68" s="7">
        <f t="shared" si="1"/>
        <v>97.466416</v>
      </c>
      <c r="N68" s="11">
        <v>97.466416</v>
      </c>
      <c r="O68" s="12"/>
      <c r="P68" s="12"/>
      <c r="Q68" s="12"/>
      <c r="R68" s="12">
        <f>49.04+9.384+19.616+19.426416</f>
        <v>97.466416</v>
      </c>
      <c r="S68" s="7" t="s">
        <v>313</v>
      </c>
      <c r="T68" s="7" t="s">
        <v>314</v>
      </c>
      <c r="U68" s="7" t="s">
        <v>175</v>
      </c>
    </row>
    <row r="69" ht="45" customHeight="1" spans="1:21">
      <c r="A69" s="5">
        <f>MAX($A$5:A68)+1</f>
        <v>38</v>
      </c>
      <c r="B69" s="7" t="s">
        <v>274</v>
      </c>
      <c r="C69" s="7" t="s">
        <v>315</v>
      </c>
      <c r="D69" s="7" t="s">
        <v>47</v>
      </c>
      <c r="E69" s="7" t="s">
        <v>66</v>
      </c>
      <c r="F69" s="7" t="s">
        <v>200</v>
      </c>
      <c r="G69" s="7" t="s">
        <v>30</v>
      </c>
      <c r="H69" s="7" t="s">
        <v>316</v>
      </c>
      <c r="I69" s="7" t="s">
        <v>317</v>
      </c>
      <c r="J69" s="7" t="s">
        <v>33</v>
      </c>
      <c r="K69" s="7" t="s">
        <v>34</v>
      </c>
      <c r="L69" s="10" t="s">
        <v>35</v>
      </c>
      <c r="M69" s="7">
        <f t="shared" si="1"/>
        <v>390.45</v>
      </c>
      <c r="N69" s="11">
        <v>390.45</v>
      </c>
      <c r="O69" s="12"/>
      <c r="P69" s="12"/>
      <c r="Q69" s="12"/>
      <c r="R69" s="12">
        <f>78.09+195.225+78.16+38.975</f>
        <v>390.45</v>
      </c>
      <c r="S69" s="7" t="s">
        <v>318</v>
      </c>
      <c r="T69" s="7" t="s">
        <v>319</v>
      </c>
      <c r="U69" s="7" t="s">
        <v>175</v>
      </c>
    </row>
    <row r="70" ht="45" customHeight="1" spans="1:21">
      <c r="A70" s="5">
        <f>MAX($A$5:A69)+1</f>
        <v>39</v>
      </c>
      <c r="B70" s="7" t="s">
        <v>274</v>
      </c>
      <c r="C70" s="7" t="s">
        <v>320</v>
      </c>
      <c r="D70" s="7" t="s">
        <v>39</v>
      </c>
      <c r="E70" s="7" t="s">
        <v>59</v>
      </c>
      <c r="F70" s="7" t="s">
        <v>163</v>
      </c>
      <c r="G70" s="7" t="s">
        <v>30</v>
      </c>
      <c r="H70" s="7" t="s">
        <v>321</v>
      </c>
      <c r="I70" s="7" t="s">
        <v>322</v>
      </c>
      <c r="J70" s="7" t="s">
        <v>33</v>
      </c>
      <c r="K70" s="7" t="s">
        <v>34</v>
      </c>
      <c r="L70" s="10" t="s">
        <v>35</v>
      </c>
      <c r="M70" s="7">
        <f t="shared" ref="M70:M133" si="2">N70+O70+P70+Q70</f>
        <v>188.13</v>
      </c>
      <c r="N70" s="11">
        <v>188.13</v>
      </c>
      <c r="O70" s="12"/>
      <c r="P70" s="12"/>
      <c r="Q70" s="12"/>
      <c r="R70" s="12">
        <f>94.065+94.065</f>
        <v>188.13</v>
      </c>
      <c r="S70" s="7" t="s">
        <v>323</v>
      </c>
      <c r="T70" s="7" t="s">
        <v>324</v>
      </c>
      <c r="U70" s="7" t="s">
        <v>37</v>
      </c>
    </row>
    <row r="71" ht="45" customHeight="1" spans="1:21">
      <c r="A71" s="5">
        <f>MAX($A$5:A70)+1</f>
        <v>40</v>
      </c>
      <c r="B71" s="7" t="s">
        <v>274</v>
      </c>
      <c r="C71" s="7" t="s">
        <v>325</v>
      </c>
      <c r="D71" s="7" t="s">
        <v>47</v>
      </c>
      <c r="E71" s="7" t="s">
        <v>48</v>
      </c>
      <c r="F71" s="7" t="s">
        <v>163</v>
      </c>
      <c r="G71" s="7" t="s">
        <v>30</v>
      </c>
      <c r="H71" s="7" t="s">
        <v>326</v>
      </c>
      <c r="I71" s="7" t="s">
        <v>327</v>
      </c>
      <c r="J71" s="7" t="s">
        <v>33</v>
      </c>
      <c r="K71" s="7" t="s">
        <v>34</v>
      </c>
      <c r="L71" s="10" t="s">
        <v>35</v>
      </c>
      <c r="M71" s="7">
        <f t="shared" si="2"/>
        <v>90.5</v>
      </c>
      <c r="N71" s="11">
        <v>90.5</v>
      </c>
      <c r="O71" s="12"/>
      <c r="P71" s="12"/>
      <c r="Q71" s="12"/>
      <c r="R71" s="12">
        <f>45.25+27.15+18.1</f>
        <v>90.5</v>
      </c>
      <c r="S71" s="7" t="s">
        <v>328</v>
      </c>
      <c r="T71" s="7" t="s">
        <v>329</v>
      </c>
      <c r="U71" s="7" t="s">
        <v>175</v>
      </c>
    </row>
    <row r="72" ht="45" customHeight="1" spans="1:21">
      <c r="A72" s="5">
        <f>MAX($A$5:A71)+1</f>
        <v>41</v>
      </c>
      <c r="B72" s="7" t="s">
        <v>274</v>
      </c>
      <c r="C72" s="7" t="s">
        <v>330</v>
      </c>
      <c r="D72" s="7" t="s">
        <v>39</v>
      </c>
      <c r="E72" s="7" t="s">
        <v>59</v>
      </c>
      <c r="F72" s="7" t="s">
        <v>216</v>
      </c>
      <c r="G72" s="7" t="s">
        <v>30</v>
      </c>
      <c r="H72" s="7" t="s">
        <v>331</v>
      </c>
      <c r="I72" s="7" t="s">
        <v>332</v>
      </c>
      <c r="J72" s="7" t="s">
        <v>33</v>
      </c>
      <c r="K72" s="7" t="s">
        <v>34</v>
      </c>
      <c r="L72" s="10" t="s">
        <v>35</v>
      </c>
      <c r="M72" s="7">
        <f t="shared" si="2"/>
        <v>146</v>
      </c>
      <c r="N72" s="11">
        <v>146</v>
      </c>
      <c r="O72" s="12"/>
      <c r="P72" s="12"/>
      <c r="Q72" s="12"/>
      <c r="R72" s="12">
        <f>73+43.8+29.2</f>
        <v>146</v>
      </c>
      <c r="S72" s="7" t="s">
        <v>333</v>
      </c>
      <c r="T72" s="7" t="s">
        <v>334</v>
      </c>
      <c r="U72" s="7" t="s">
        <v>37</v>
      </c>
    </row>
    <row r="73" ht="45" customHeight="1" spans="1:21">
      <c r="A73" s="5">
        <f>MAX($A$5:A72)+1</f>
        <v>42</v>
      </c>
      <c r="B73" s="7" t="s">
        <v>274</v>
      </c>
      <c r="C73" s="7" t="s">
        <v>335</v>
      </c>
      <c r="D73" s="7" t="s">
        <v>47</v>
      </c>
      <c r="E73" s="7" t="s">
        <v>48</v>
      </c>
      <c r="F73" s="7" t="s">
        <v>90</v>
      </c>
      <c r="G73" s="7" t="s">
        <v>30</v>
      </c>
      <c r="H73" s="7" t="s">
        <v>336</v>
      </c>
      <c r="I73" s="7" t="s">
        <v>337</v>
      </c>
      <c r="J73" s="7" t="s">
        <v>33</v>
      </c>
      <c r="K73" s="7" t="s">
        <v>34</v>
      </c>
      <c r="L73" s="10" t="s">
        <v>35</v>
      </c>
      <c r="M73" s="7">
        <f t="shared" si="2"/>
        <v>64.88</v>
      </c>
      <c r="N73" s="11">
        <v>64.88</v>
      </c>
      <c r="O73" s="12"/>
      <c r="P73" s="12"/>
      <c r="Q73" s="12"/>
      <c r="R73" s="12">
        <f>51.904+12.976</f>
        <v>64.88</v>
      </c>
      <c r="S73" s="7" t="s">
        <v>338</v>
      </c>
      <c r="T73" s="7" t="s">
        <v>339</v>
      </c>
      <c r="U73" s="7" t="s">
        <v>175</v>
      </c>
    </row>
    <row r="74" ht="45" customHeight="1" spans="1:21">
      <c r="A74" s="5">
        <f>MAX($A$5:A73)+1</f>
        <v>43</v>
      </c>
      <c r="B74" s="7" t="s">
        <v>340</v>
      </c>
      <c r="C74" s="7" t="s">
        <v>341</v>
      </c>
      <c r="D74" s="7" t="s">
        <v>39</v>
      </c>
      <c r="E74" s="7" t="s">
        <v>342</v>
      </c>
      <c r="F74" s="7" t="s">
        <v>343</v>
      </c>
      <c r="G74" s="7" t="s">
        <v>343</v>
      </c>
      <c r="H74" s="7" t="s">
        <v>344</v>
      </c>
      <c r="I74" s="7" t="s">
        <v>345</v>
      </c>
      <c r="J74" s="7" t="s">
        <v>144</v>
      </c>
      <c r="K74" s="7" t="s">
        <v>151</v>
      </c>
      <c r="L74" s="10" t="s">
        <v>146</v>
      </c>
      <c r="M74" s="7">
        <f t="shared" si="2"/>
        <v>2025.527</v>
      </c>
      <c r="N74" s="12"/>
      <c r="O74" s="12"/>
      <c r="P74" s="12">
        <v>2025.527</v>
      </c>
      <c r="Q74" s="12"/>
      <c r="R74" s="12">
        <f>488.708785-67.17877+173.564344+61.17877+23.776+636.950251+16.225</f>
        <v>1333.22438</v>
      </c>
      <c r="S74" s="7" t="s">
        <v>346</v>
      </c>
      <c r="T74" s="7" t="s">
        <v>347</v>
      </c>
      <c r="U74" s="7" t="s">
        <v>37</v>
      </c>
    </row>
    <row r="75" ht="45" customHeight="1" spans="1:21">
      <c r="A75" s="5">
        <f>MAX($A$5:A74)+1</f>
        <v>44</v>
      </c>
      <c r="B75" s="7" t="s">
        <v>348</v>
      </c>
      <c r="C75" s="7" t="s">
        <v>349</v>
      </c>
      <c r="D75" s="7" t="s">
        <v>47</v>
      </c>
      <c r="E75" s="7" t="s">
        <v>269</v>
      </c>
      <c r="F75" s="7" t="s">
        <v>187</v>
      </c>
      <c r="G75" s="7" t="s">
        <v>30</v>
      </c>
      <c r="H75" s="7" t="s">
        <v>350</v>
      </c>
      <c r="I75" s="7" t="s">
        <v>351</v>
      </c>
      <c r="J75" s="7" t="s">
        <v>33</v>
      </c>
      <c r="K75" s="7" t="s">
        <v>34</v>
      </c>
      <c r="L75" s="10" t="s">
        <v>35</v>
      </c>
      <c r="M75" s="7">
        <f t="shared" si="2"/>
        <v>363.58</v>
      </c>
      <c r="N75" s="11">
        <v>363.58</v>
      </c>
      <c r="O75" s="12"/>
      <c r="P75" s="12"/>
      <c r="Q75" s="12"/>
      <c r="R75" s="12">
        <f>181.79+109.074</f>
        <v>290.864</v>
      </c>
      <c r="S75" s="7" t="s">
        <v>352</v>
      </c>
      <c r="T75" s="7" t="s">
        <v>353</v>
      </c>
      <c r="U75" s="7" t="s">
        <v>175</v>
      </c>
    </row>
    <row r="76" ht="45" customHeight="1" spans="1:21">
      <c r="A76" s="5">
        <f>MAX($A$5:A75)+1</f>
        <v>45</v>
      </c>
      <c r="B76" s="7" t="s">
        <v>348</v>
      </c>
      <c r="C76" s="7" t="s">
        <v>354</v>
      </c>
      <c r="D76" s="7" t="s">
        <v>39</v>
      </c>
      <c r="E76" s="7" t="s">
        <v>59</v>
      </c>
      <c r="F76" s="7" t="s">
        <v>163</v>
      </c>
      <c r="G76" s="7" t="s">
        <v>30</v>
      </c>
      <c r="H76" s="7" t="s">
        <v>355</v>
      </c>
      <c r="I76" s="7" t="s">
        <v>356</v>
      </c>
      <c r="J76" s="7" t="s">
        <v>33</v>
      </c>
      <c r="K76" s="7" t="s">
        <v>34</v>
      </c>
      <c r="L76" s="10" t="s">
        <v>35</v>
      </c>
      <c r="M76" s="7">
        <f t="shared" si="2"/>
        <v>57.81</v>
      </c>
      <c r="N76" s="11">
        <v>57.81</v>
      </c>
      <c r="O76" s="12"/>
      <c r="P76" s="12"/>
      <c r="Q76" s="12"/>
      <c r="R76" s="12">
        <f>28.905+17.343+11.562</f>
        <v>57.81</v>
      </c>
      <c r="S76" s="7" t="s">
        <v>357</v>
      </c>
      <c r="T76" s="7" t="s">
        <v>358</v>
      </c>
      <c r="U76" s="7" t="s">
        <v>37</v>
      </c>
    </row>
    <row r="77" ht="45" customHeight="1" spans="1:21">
      <c r="A77" s="5">
        <f>MAX($A$5:A76)+1</f>
        <v>46</v>
      </c>
      <c r="B77" s="7" t="s">
        <v>348</v>
      </c>
      <c r="C77" s="7" t="s">
        <v>359</v>
      </c>
      <c r="D77" s="7" t="s">
        <v>39</v>
      </c>
      <c r="E77" s="7" t="s">
        <v>59</v>
      </c>
      <c r="F77" s="7" t="s">
        <v>224</v>
      </c>
      <c r="G77" s="7" t="s">
        <v>30</v>
      </c>
      <c r="H77" s="7" t="s">
        <v>360</v>
      </c>
      <c r="I77" s="7" t="s">
        <v>361</v>
      </c>
      <c r="J77" s="7" t="s">
        <v>33</v>
      </c>
      <c r="K77" s="7" t="s">
        <v>34</v>
      </c>
      <c r="L77" s="10" t="s">
        <v>35</v>
      </c>
      <c r="M77" s="7">
        <f t="shared" si="2"/>
        <v>69.49</v>
      </c>
      <c r="N77" s="11">
        <v>69.49</v>
      </c>
      <c r="O77" s="12"/>
      <c r="P77" s="12"/>
      <c r="Q77" s="12"/>
      <c r="R77" s="12">
        <f>34.745+13.898+20.847</f>
        <v>69.49</v>
      </c>
      <c r="S77" s="7" t="s">
        <v>362</v>
      </c>
      <c r="T77" s="7" t="s">
        <v>363</v>
      </c>
      <c r="U77" s="7" t="s">
        <v>37</v>
      </c>
    </row>
    <row r="78" ht="45" customHeight="1" spans="1:21">
      <c r="A78" s="5">
        <f>MAX($A$5:A77)+1</f>
        <v>47</v>
      </c>
      <c r="B78" s="7" t="s">
        <v>348</v>
      </c>
      <c r="C78" s="7" t="s">
        <v>364</v>
      </c>
      <c r="D78" s="7" t="s">
        <v>47</v>
      </c>
      <c r="E78" s="7" t="s">
        <v>66</v>
      </c>
      <c r="F78" s="7" t="s">
        <v>84</v>
      </c>
      <c r="G78" s="7" t="s">
        <v>30</v>
      </c>
      <c r="H78" s="7" t="s">
        <v>365</v>
      </c>
      <c r="I78" s="7" t="s">
        <v>366</v>
      </c>
      <c r="J78" s="7" t="s">
        <v>33</v>
      </c>
      <c r="K78" s="7" t="s">
        <v>34</v>
      </c>
      <c r="L78" s="10" t="s">
        <v>35</v>
      </c>
      <c r="M78" s="7">
        <f t="shared" si="2"/>
        <v>97.32</v>
      </c>
      <c r="N78" s="11">
        <v>97.32</v>
      </c>
      <c r="O78" s="12"/>
      <c r="P78" s="12"/>
      <c r="Q78" s="12"/>
      <c r="R78" s="12">
        <f>48.66+19.464+29.196</f>
        <v>97.32</v>
      </c>
      <c r="S78" s="7" t="s">
        <v>367</v>
      </c>
      <c r="T78" s="7" t="s">
        <v>368</v>
      </c>
      <c r="U78" s="7" t="s">
        <v>57</v>
      </c>
    </row>
    <row r="79" ht="45" customHeight="1" spans="1:21">
      <c r="A79" s="5">
        <f>MAX($A$5:A78)+1</f>
        <v>48</v>
      </c>
      <c r="B79" s="7" t="s">
        <v>348</v>
      </c>
      <c r="C79" s="7" t="s">
        <v>369</v>
      </c>
      <c r="D79" s="7" t="s">
        <v>39</v>
      </c>
      <c r="E79" s="7" t="s">
        <v>59</v>
      </c>
      <c r="F79" s="7" t="s">
        <v>211</v>
      </c>
      <c r="G79" s="7" t="s">
        <v>30</v>
      </c>
      <c r="H79" s="7" t="s">
        <v>370</v>
      </c>
      <c r="I79" s="7" t="s">
        <v>371</v>
      </c>
      <c r="J79" s="7" t="s">
        <v>33</v>
      </c>
      <c r="K79" s="7" t="s">
        <v>34</v>
      </c>
      <c r="L79" s="10" t="s">
        <v>35</v>
      </c>
      <c r="M79" s="7">
        <f t="shared" si="2"/>
        <v>173.15</v>
      </c>
      <c r="N79" s="11">
        <v>173.15</v>
      </c>
      <c r="O79" s="12"/>
      <c r="P79" s="12"/>
      <c r="Q79" s="12"/>
      <c r="R79" s="12">
        <f>86.5723+0.0027+51.945+34.63</f>
        <v>173.15</v>
      </c>
      <c r="S79" s="7" t="s">
        <v>372</v>
      </c>
      <c r="T79" s="7" t="s">
        <v>373</v>
      </c>
      <c r="U79" s="7" t="s">
        <v>37</v>
      </c>
    </row>
    <row r="80" ht="45" customHeight="1" spans="1:21">
      <c r="A80" s="5">
        <f>MAX($A$5:A79)+1</f>
        <v>49</v>
      </c>
      <c r="B80" s="7" t="s">
        <v>348</v>
      </c>
      <c r="C80" s="7" t="s">
        <v>374</v>
      </c>
      <c r="D80" s="7" t="s">
        <v>39</v>
      </c>
      <c r="E80" s="7" t="s">
        <v>40</v>
      </c>
      <c r="F80" s="7" t="s">
        <v>41</v>
      </c>
      <c r="G80" s="7" t="s">
        <v>30</v>
      </c>
      <c r="H80" s="7" t="s">
        <v>375</v>
      </c>
      <c r="I80" s="7" t="s">
        <v>376</v>
      </c>
      <c r="J80" s="7" t="s">
        <v>33</v>
      </c>
      <c r="K80" s="7" t="s">
        <v>34</v>
      </c>
      <c r="L80" s="10" t="s">
        <v>35</v>
      </c>
      <c r="M80" s="7">
        <f t="shared" si="2"/>
        <v>114.406874</v>
      </c>
      <c r="N80" s="11">
        <v>114.406874</v>
      </c>
      <c r="O80" s="12"/>
      <c r="P80" s="12"/>
      <c r="Q80" s="12"/>
      <c r="R80" s="12">
        <f>57.27+34.362+22.774874</f>
        <v>114.406874</v>
      </c>
      <c r="S80" s="7" t="s">
        <v>377</v>
      </c>
      <c r="T80" s="7" t="s">
        <v>378</v>
      </c>
      <c r="U80" s="7" t="s">
        <v>37</v>
      </c>
    </row>
    <row r="81" ht="45" customHeight="1" spans="1:21">
      <c r="A81" s="5">
        <f>MAX($A$5:A80)+1</f>
        <v>50</v>
      </c>
      <c r="B81" s="7" t="s">
        <v>348</v>
      </c>
      <c r="C81" s="7" t="s">
        <v>379</v>
      </c>
      <c r="D81" s="7" t="s">
        <v>39</v>
      </c>
      <c r="E81" s="7" t="s">
        <v>59</v>
      </c>
      <c r="F81" s="7" t="s">
        <v>60</v>
      </c>
      <c r="G81" s="7" t="s">
        <v>30</v>
      </c>
      <c r="H81" s="7" t="s">
        <v>380</v>
      </c>
      <c r="I81" s="7" t="s">
        <v>381</v>
      </c>
      <c r="J81" s="7" t="s">
        <v>33</v>
      </c>
      <c r="K81" s="7" t="s">
        <v>34</v>
      </c>
      <c r="L81" s="10" t="s">
        <v>35</v>
      </c>
      <c r="M81" s="7">
        <f t="shared" si="2"/>
        <v>147.1</v>
      </c>
      <c r="N81" s="11">
        <v>147.1</v>
      </c>
      <c r="O81" s="12"/>
      <c r="P81" s="12"/>
      <c r="Q81" s="12"/>
      <c r="R81" s="12">
        <f>73.55+73.55</f>
        <v>147.1</v>
      </c>
      <c r="S81" s="7" t="s">
        <v>382</v>
      </c>
      <c r="T81" s="7" t="s">
        <v>383</v>
      </c>
      <c r="U81" s="7" t="s">
        <v>37</v>
      </c>
    </row>
    <row r="82" ht="45" customHeight="1" spans="1:21">
      <c r="A82" s="5">
        <f>MAX($A$5:A81)+1</f>
        <v>51</v>
      </c>
      <c r="B82" s="7" t="s">
        <v>348</v>
      </c>
      <c r="C82" s="7" t="s">
        <v>384</v>
      </c>
      <c r="D82" s="7" t="s">
        <v>39</v>
      </c>
      <c r="E82" s="7" t="s">
        <v>59</v>
      </c>
      <c r="F82" s="7" t="s">
        <v>197</v>
      </c>
      <c r="G82" s="7" t="s">
        <v>30</v>
      </c>
      <c r="H82" s="7" t="s">
        <v>385</v>
      </c>
      <c r="I82" s="7" t="s">
        <v>386</v>
      </c>
      <c r="J82" s="7" t="s">
        <v>33</v>
      </c>
      <c r="K82" s="7" t="s">
        <v>34</v>
      </c>
      <c r="L82" s="10" t="s">
        <v>35</v>
      </c>
      <c r="M82" s="7">
        <f t="shared" si="2"/>
        <v>43.63</v>
      </c>
      <c r="N82" s="11">
        <v>43.63</v>
      </c>
      <c r="O82" s="12"/>
      <c r="P82" s="12"/>
      <c r="Q82" s="12"/>
      <c r="R82" s="12">
        <f>43.63</f>
        <v>43.63</v>
      </c>
      <c r="S82" s="7" t="s">
        <v>387</v>
      </c>
      <c r="T82" s="7" t="s">
        <v>388</v>
      </c>
      <c r="U82" s="7" t="s">
        <v>37</v>
      </c>
    </row>
    <row r="83" ht="45" customHeight="1" spans="1:21">
      <c r="A83" s="5">
        <f>MAX($A$5:A82)+1</f>
        <v>52</v>
      </c>
      <c r="B83" s="7" t="s">
        <v>348</v>
      </c>
      <c r="C83" s="7" t="s">
        <v>389</v>
      </c>
      <c r="D83" s="7" t="s">
        <v>28</v>
      </c>
      <c r="E83" s="7" t="s">
        <v>137</v>
      </c>
      <c r="F83" s="7" t="s">
        <v>30</v>
      </c>
      <c r="G83" s="7" t="s">
        <v>30</v>
      </c>
      <c r="H83" s="7" t="s">
        <v>31</v>
      </c>
      <c r="I83" s="7" t="s">
        <v>138</v>
      </c>
      <c r="J83" s="7" t="s">
        <v>33</v>
      </c>
      <c r="K83" s="7" t="s">
        <v>34</v>
      </c>
      <c r="L83" s="10" t="s">
        <v>35</v>
      </c>
      <c r="M83" s="7">
        <f t="shared" si="2"/>
        <v>402.165</v>
      </c>
      <c r="N83" s="11">
        <v>402.165</v>
      </c>
      <c r="O83" s="12"/>
      <c r="P83" s="12"/>
      <c r="Q83" s="12"/>
      <c r="R83" s="12">
        <f>402.285</f>
        <v>402.285</v>
      </c>
      <c r="S83" s="7"/>
      <c r="T83" s="7" t="s">
        <v>390</v>
      </c>
      <c r="U83" s="7" t="s">
        <v>140</v>
      </c>
    </row>
    <row r="84" ht="45" customHeight="1" spans="1:21">
      <c r="A84" s="5">
        <f>MAX($A$5:A83)+1</f>
        <v>53</v>
      </c>
      <c r="B84" s="7" t="s">
        <v>348</v>
      </c>
      <c r="C84" s="7" t="s">
        <v>391</v>
      </c>
      <c r="D84" s="7" t="s">
        <v>28</v>
      </c>
      <c r="E84" s="7" t="s">
        <v>137</v>
      </c>
      <c r="F84" s="7" t="s">
        <v>154</v>
      </c>
      <c r="G84" s="7" t="s">
        <v>154</v>
      </c>
      <c r="H84" s="7" t="s">
        <v>31</v>
      </c>
      <c r="I84" s="7" t="s">
        <v>138</v>
      </c>
      <c r="J84" s="7" t="s">
        <v>33</v>
      </c>
      <c r="K84" s="7" t="s">
        <v>34</v>
      </c>
      <c r="L84" s="10" t="s">
        <v>35</v>
      </c>
      <c r="M84" s="7">
        <f t="shared" si="2"/>
        <v>29.16</v>
      </c>
      <c r="N84" s="12">
        <v>29.16</v>
      </c>
      <c r="O84" s="12"/>
      <c r="P84" s="12"/>
      <c r="Q84" s="12"/>
      <c r="R84" s="12">
        <v>29.16</v>
      </c>
      <c r="S84" s="7"/>
      <c r="T84" s="7" t="s">
        <v>155</v>
      </c>
      <c r="U84" s="7" t="s">
        <v>140</v>
      </c>
    </row>
    <row r="85" ht="45" customHeight="1" spans="1:21">
      <c r="A85" s="5">
        <f>MAX($A$5:A84)+1</f>
        <v>54</v>
      </c>
      <c r="B85" s="7" t="s">
        <v>348</v>
      </c>
      <c r="C85" s="7" t="s">
        <v>392</v>
      </c>
      <c r="D85" s="7" t="s">
        <v>28</v>
      </c>
      <c r="E85" s="7" t="s">
        <v>137</v>
      </c>
      <c r="F85" s="7" t="s">
        <v>157</v>
      </c>
      <c r="G85" s="7" t="s">
        <v>157</v>
      </c>
      <c r="H85" s="7" t="s">
        <v>31</v>
      </c>
      <c r="I85" s="7" t="s">
        <v>138</v>
      </c>
      <c r="J85" s="7" t="s">
        <v>33</v>
      </c>
      <c r="K85" s="7" t="s">
        <v>34</v>
      </c>
      <c r="L85" s="10" t="s">
        <v>35</v>
      </c>
      <c r="M85" s="7">
        <f t="shared" si="2"/>
        <v>63.72</v>
      </c>
      <c r="N85" s="12">
        <v>63.72</v>
      </c>
      <c r="O85" s="12"/>
      <c r="P85" s="12"/>
      <c r="Q85" s="12"/>
      <c r="R85" s="12">
        <f>63.72</f>
        <v>63.72</v>
      </c>
      <c r="S85" s="7"/>
      <c r="T85" s="7" t="s">
        <v>393</v>
      </c>
      <c r="U85" s="7" t="s">
        <v>140</v>
      </c>
    </row>
    <row r="86" ht="45" customHeight="1" spans="1:21">
      <c r="A86" s="5">
        <f>MAX($A$5:A85)+1</f>
        <v>55</v>
      </c>
      <c r="B86" s="7" t="s">
        <v>348</v>
      </c>
      <c r="C86" s="7" t="s">
        <v>394</v>
      </c>
      <c r="D86" s="7" t="s">
        <v>28</v>
      </c>
      <c r="E86" s="7" t="s">
        <v>137</v>
      </c>
      <c r="F86" s="7" t="s">
        <v>160</v>
      </c>
      <c r="G86" s="7" t="s">
        <v>160</v>
      </c>
      <c r="H86" s="7" t="s">
        <v>31</v>
      </c>
      <c r="I86" s="7" t="s">
        <v>138</v>
      </c>
      <c r="J86" s="7" t="s">
        <v>33</v>
      </c>
      <c r="K86" s="7" t="s">
        <v>34</v>
      </c>
      <c r="L86" s="10" t="s">
        <v>35</v>
      </c>
      <c r="M86" s="7">
        <f t="shared" si="2"/>
        <v>213.3</v>
      </c>
      <c r="N86" s="12">
        <v>213.3</v>
      </c>
      <c r="O86" s="12"/>
      <c r="P86" s="12"/>
      <c r="Q86" s="12"/>
      <c r="R86" s="11">
        <v>213.3</v>
      </c>
      <c r="S86" s="7"/>
      <c r="T86" s="7" t="s">
        <v>395</v>
      </c>
      <c r="U86" s="7" t="s">
        <v>140</v>
      </c>
    </row>
    <row r="87" ht="45" customHeight="1" spans="1:21">
      <c r="A87" s="5">
        <f>MAX($A$5:A86)+1</f>
        <v>56</v>
      </c>
      <c r="B87" s="7" t="s">
        <v>348</v>
      </c>
      <c r="C87" s="7" t="s">
        <v>396</v>
      </c>
      <c r="D87" s="7" t="s">
        <v>47</v>
      </c>
      <c r="E87" s="7" t="s">
        <v>397</v>
      </c>
      <c r="F87" s="7" t="s">
        <v>343</v>
      </c>
      <c r="G87" s="7" t="s">
        <v>343</v>
      </c>
      <c r="H87" s="7" t="s">
        <v>31</v>
      </c>
      <c r="I87" s="7" t="s">
        <v>398</v>
      </c>
      <c r="J87" s="7" t="s">
        <v>144</v>
      </c>
      <c r="K87" s="7" t="s">
        <v>399</v>
      </c>
      <c r="L87" s="10" t="s">
        <v>146</v>
      </c>
      <c r="M87" s="7">
        <f t="shared" si="2"/>
        <v>84.032663</v>
      </c>
      <c r="N87" s="12"/>
      <c r="O87" s="12"/>
      <c r="P87" s="12">
        <v>84.032663</v>
      </c>
      <c r="Q87" s="12"/>
      <c r="R87" s="12">
        <f>83.840663-4.908668+5.100668-2.232268+2.232268</f>
        <v>84.032663</v>
      </c>
      <c r="S87" s="7"/>
      <c r="T87" s="7" t="s">
        <v>400</v>
      </c>
      <c r="U87" s="7" t="s">
        <v>175</v>
      </c>
    </row>
    <row r="88" ht="45" customHeight="1" spans="1:21">
      <c r="A88" s="5">
        <f>MAX($A$5:A87)+1</f>
        <v>57</v>
      </c>
      <c r="B88" s="7" t="s">
        <v>348</v>
      </c>
      <c r="C88" s="7" t="s">
        <v>401</v>
      </c>
      <c r="D88" s="7" t="s">
        <v>47</v>
      </c>
      <c r="E88" s="7" t="s">
        <v>397</v>
      </c>
      <c r="F88" s="7" t="s">
        <v>402</v>
      </c>
      <c r="G88" s="7" t="s">
        <v>402</v>
      </c>
      <c r="H88" s="7" t="s">
        <v>31</v>
      </c>
      <c r="I88" s="7" t="s">
        <v>398</v>
      </c>
      <c r="J88" s="7" t="s">
        <v>144</v>
      </c>
      <c r="K88" s="7" t="s">
        <v>399</v>
      </c>
      <c r="L88" s="10" t="s">
        <v>146</v>
      </c>
      <c r="M88" s="7">
        <f t="shared" si="2"/>
        <v>10.3744</v>
      </c>
      <c r="N88" s="12"/>
      <c r="O88" s="12"/>
      <c r="P88" s="12">
        <v>10.3744</v>
      </c>
      <c r="Q88" s="12"/>
      <c r="R88" s="12">
        <f>10.3744-4.3548+4.3548-2.7501+2.7501</f>
        <v>10.3744</v>
      </c>
      <c r="S88" s="7"/>
      <c r="T88" s="7" t="s">
        <v>403</v>
      </c>
      <c r="U88" s="7" t="s">
        <v>130</v>
      </c>
    </row>
    <row r="89" ht="45" customHeight="1" spans="1:21">
      <c r="A89" s="5">
        <f>MAX($A$5:A88)+1</f>
        <v>58</v>
      </c>
      <c r="B89" s="7" t="s">
        <v>348</v>
      </c>
      <c r="C89" s="7" t="s">
        <v>404</v>
      </c>
      <c r="D89" s="7" t="s">
        <v>47</v>
      </c>
      <c r="E89" s="7" t="s">
        <v>397</v>
      </c>
      <c r="F89" s="7" t="s">
        <v>405</v>
      </c>
      <c r="G89" s="7" t="s">
        <v>405</v>
      </c>
      <c r="H89" s="7" t="s">
        <v>31</v>
      </c>
      <c r="I89" s="7" t="s">
        <v>398</v>
      </c>
      <c r="J89" s="7" t="s">
        <v>144</v>
      </c>
      <c r="K89" s="7" t="s">
        <v>399</v>
      </c>
      <c r="L89" s="10" t="s">
        <v>146</v>
      </c>
      <c r="M89" s="7">
        <f t="shared" si="2"/>
        <v>11.575113</v>
      </c>
      <c r="N89" s="12"/>
      <c r="O89" s="12"/>
      <c r="P89" s="12">
        <v>11.575113</v>
      </c>
      <c r="Q89" s="12"/>
      <c r="R89" s="12">
        <f>9.239113+2.336</f>
        <v>11.575113</v>
      </c>
      <c r="S89" s="7"/>
      <c r="T89" s="7" t="s">
        <v>406</v>
      </c>
      <c r="U89" s="7" t="s">
        <v>130</v>
      </c>
    </row>
    <row r="90" ht="45" customHeight="1" spans="1:21">
      <c r="A90" s="5">
        <f>MAX($A$5:A89)+1</f>
        <v>59</v>
      </c>
      <c r="B90" s="7" t="s">
        <v>348</v>
      </c>
      <c r="C90" s="7" t="s">
        <v>407</v>
      </c>
      <c r="D90" s="7" t="s">
        <v>47</v>
      </c>
      <c r="E90" s="7" t="s">
        <v>397</v>
      </c>
      <c r="F90" s="7" t="s">
        <v>408</v>
      </c>
      <c r="G90" s="7" t="s">
        <v>408</v>
      </c>
      <c r="H90" s="7" t="s">
        <v>31</v>
      </c>
      <c r="I90" s="7" t="s">
        <v>398</v>
      </c>
      <c r="J90" s="7" t="s">
        <v>144</v>
      </c>
      <c r="K90" s="7" t="s">
        <v>399</v>
      </c>
      <c r="L90" s="10" t="s">
        <v>146</v>
      </c>
      <c r="M90" s="7">
        <f t="shared" si="2"/>
        <v>58.315658</v>
      </c>
      <c r="N90" s="12"/>
      <c r="O90" s="12"/>
      <c r="P90" s="11">
        <v>58.315658</v>
      </c>
      <c r="Q90" s="12"/>
      <c r="R90" s="12">
        <f>58.315658-1.548328+1.548328-1.548328+1.548328</f>
        <v>58.315658</v>
      </c>
      <c r="S90" s="7"/>
      <c r="T90" s="7" t="s">
        <v>409</v>
      </c>
      <c r="U90" s="7" t="s">
        <v>130</v>
      </c>
    </row>
    <row r="91" ht="45" customHeight="1" spans="1:21">
      <c r="A91" s="5">
        <f>MAX($A$5:A90)+1</f>
        <v>60</v>
      </c>
      <c r="B91" s="7" t="s">
        <v>348</v>
      </c>
      <c r="C91" s="7" t="s">
        <v>410</v>
      </c>
      <c r="D91" s="7" t="s">
        <v>47</v>
      </c>
      <c r="E91" s="7" t="s">
        <v>126</v>
      </c>
      <c r="F91" s="7" t="s">
        <v>411</v>
      </c>
      <c r="G91" s="7" t="s">
        <v>411</v>
      </c>
      <c r="H91" s="7" t="s">
        <v>31</v>
      </c>
      <c r="I91" s="7" t="s">
        <v>128</v>
      </c>
      <c r="J91" s="7" t="s">
        <v>33</v>
      </c>
      <c r="K91" s="7" t="s">
        <v>34</v>
      </c>
      <c r="L91" s="10" t="s">
        <v>35</v>
      </c>
      <c r="M91" s="7">
        <f t="shared" si="2"/>
        <v>76.937306</v>
      </c>
      <c r="N91" s="12">
        <v>76.937306</v>
      </c>
      <c r="O91" s="12"/>
      <c r="P91" s="12"/>
      <c r="Q91" s="12"/>
      <c r="R91" s="12">
        <f>76.937306</f>
        <v>76.937306</v>
      </c>
      <c r="S91" s="7" t="s">
        <v>412</v>
      </c>
      <c r="T91" s="7"/>
      <c r="U91" s="7" t="s">
        <v>130</v>
      </c>
    </row>
    <row r="92" ht="45" customHeight="1" spans="1:21">
      <c r="A92" s="5">
        <f>MAX($A$5:A91)+1</f>
        <v>61</v>
      </c>
      <c r="B92" s="7" t="s">
        <v>413</v>
      </c>
      <c r="C92" s="7" t="s">
        <v>414</v>
      </c>
      <c r="D92" s="7" t="s">
        <v>47</v>
      </c>
      <c r="E92" s="7" t="s">
        <v>269</v>
      </c>
      <c r="F92" s="7" t="s">
        <v>187</v>
      </c>
      <c r="G92" s="7" t="s">
        <v>30</v>
      </c>
      <c r="H92" s="7" t="s">
        <v>415</v>
      </c>
      <c r="I92" s="7" t="s">
        <v>416</v>
      </c>
      <c r="J92" s="7" t="s">
        <v>33</v>
      </c>
      <c r="K92" s="7" t="s">
        <v>34</v>
      </c>
      <c r="L92" s="10" t="s">
        <v>35</v>
      </c>
      <c r="M92" s="7">
        <f t="shared" si="2"/>
        <v>393.26</v>
      </c>
      <c r="N92" s="11">
        <v>393.26</v>
      </c>
      <c r="O92" s="12"/>
      <c r="P92" s="12"/>
      <c r="Q92" s="12"/>
      <c r="R92" s="12">
        <f>196.63+117.978</f>
        <v>314.608</v>
      </c>
      <c r="S92" s="7" t="s">
        <v>417</v>
      </c>
      <c r="T92" s="7" t="s">
        <v>418</v>
      </c>
      <c r="U92" s="7" t="s">
        <v>57</v>
      </c>
    </row>
    <row r="93" ht="45" customHeight="1" spans="1:21">
      <c r="A93" s="5">
        <f>MAX($A$5:A92)+1</f>
        <v>62</v>
      </c>
      <c r="B93" s="7" t="s">
        <v>413</v>
      </c>
      <c r="C93" s="7" t="s">
        <v>419</v>
      </c>
      <c r="D93" s="7" t="s">
        <v>47</v>
      </c>
      <c r="E93" s="7" t="s">
        <v>66</v>
      </c>
      <c r="F93" s="7" t="s">
        <v>41</v>
      </c>
      <c r="G93" s="7" t="s">
        <v>30</v>
      </c>
      <c r="H93" s="7" t="s">
        <v>420</v>
      </c>
      <c r="I93" s="7" t="s">
        <v>421</v>
      </c>
      <c r="J93" s="7" t="s">
        <v>33</v>
      </c>
      <c r="K93" s="7" t="s">
        <v>34</v>
      </c>
      <c r="L93" s="10" t="s">
        <v>35</v>
      </c>
      <c r="M93" s="7">
        <f t="shared" si="2"/>
        <v>194.904751</v>
      </c>
      <c r="N93" s="11">
        <v>194.904751</v>
      </c>
      <c r="O93" s="12"/>
      <c r="P93" s="12"/>
      <c r="Q93" s="12"/>
      <c r="R93" s="12">
        <f>97.665+58.599+38.640751</f>
        <v>194.904751</v>
      </c>
      <c r="S93" s="7" t="s">
        <v>422</v>
      </c>
      <c r="T93" s="7" t="s">
        <v>423</v>
      </c>
      <c r="U93" s="7" t="s">
        <v>57</v>
      </c>
    </row>
    <row r="94" ht="45" customHeight="1" spans="1:21">
      <c r="A94" s="5">
        <f>MAX($A$5:A93)+1</f>
        <v>63</v>
      </c>
      <c r="B94" s="7" t="s">
        <v>413</v>
      </c>
      <c r="C94" s="7" t="s">
        <v>424</v>
      </c>
      <c r="D94" s="7" t="s">
        <v>39</v>
      </c>
      <c r="E94" s="7" t="s">
        <v>40</v>
      </c>
      <c r="F94" s="7" t="s">
        <v>163</v>
      </c>
      <c r="G94" s="7" t="s">
        <v>30</v>
      </c>
      <c r="H94" s="7" t="s">
        <v>425</v>
      </c>
      <c r="I94" s="7" t="s">
        <v>426</v>
      </c>
      <c r="J94" s="7" t="s">
        <v>33</v>
      </c>
      <c r="K94" s="7" t="s">
        <v>34</v>
      </c>
      <c r="L94" s="10" t="s">
        <v>35</v>
      </c>
      <c r="M94" s="7">
        <f t="shared" si="2"/>
        <v>39.672</v>
      </c>
      <c r="N94" s="11">
        <v>39.672</v>
      </c>
      <c r="O94" s="12"/>
      <c r="P94" s="12"/>
      <c r="Q94" s="12"/>
      <c r="R94" s="12">
        <f>19.836+19.836</f>
        <v>39.672</v>
      </c>
      <c r="S94" s="7" t="s">
        <v>427</v>
      </c>
      <c r="T94" s="7" t="s">
        <v>428</v>
      </c>
      <c r="U94" s="7" t="s">
        <v>37</v>
      </c>
    </row>
    <row r="95" ht="45" customHeight="1" spans="1:21">
      <c r="A95" s="5">
        <f>MAX($A$5:A94)+1</f>
        <v>64</v>
      </c>
      <c r="B95" s="7" t="s">
        <v>413</v>
      </c>
      <c r="C95" s="7" t="s">
        <v>429</v>
      </c>
      <c r="D95" s="7" t="s">
        <v>47</v>
      </c>
      <c r="E95" s="7" t="s">
        <v>169</v>
      </c>
      <c r="F95" s="7" t="s">
        <v>211</v>
      </c>
      <c r="G95" s="7" t="s">
        <v>30</v>
      </c>
      <c r="H95" s="7" t="s">
        <v>430</v>
      </c>
      <c r="I95" s="7" t="s">
        <v>431</v>
      </c>
      <c r="J95" s="7" t="s">
        <v>33</v>
      </c>
      <c r="K95" s="7" t="s">
        <v>34</v>
      </c>
      <c r="L95" s="10" t="s">
        <v>35</v>
      </c>
      <c r="M95" s="7">
        <f t="shared" si="2"/>
        <v>84.4254</v>
      </c>
      <c r="N95" s="11">
        <v>84.4254</v>
      </c>
      <c r="O95" s="12"/>
      <c r="P95" s="12"/>
      <c r="Q95" s="12"/>
      <c r="R95" s="12">
        <f>42.29+25.374+16.7614</f>
        <v>84.4254</v>
      </c>
      <c r="S95" s="7" t="s">
        <v>432</v>
      </c>
      <c r="T95" s="7" t="s">
        <v>433</v>
      </c>
      <c r="U95" s="7" t="s">
        <v>57</v>
      </c>
    </row>
    <row r="96" ht="45" customHeight="1" spans="1:21">
      <c r="A96" s="5">
        <f>MAX($A$5:A95)+1</f>
        <v>65</v>
      </c>
      <c r="B96" s="7" t="s">
        <v>413</v>
      </c>
      <c r="C96" s="7" t="s">
        <v>434</v>
      </c>
      <c r="D96" s="7" t="s">
        <v>47</v>
      </c>
      <c r="E96" s="7" t="s">
        <v>169</v>
      </c>
      <c r="F96" s="7" t="s">
        <v>170</v>
      </c>
      <c r="G96" s="7" t="s">
        <v>30</v>
      </c>
      <c r="H96" s="7" t="s">
        <v>171</v>
      </c>
      <c r="I96" s="7" t="s">
        <v>435</v>
      </c>
      <c r="J96" s="7" t="s">
        <v>33</v>
      </c>
      <c r="K96" s="7" t="s">
        <v>34</v>
      </c>
      <c r="L96" s="10" t="s">
        <v>35</v>
      </c>
      <c r="M96" s="7">
        <f t="shared" si="2"/>
        <v>333.37</v>
      </c>
      <c r="N96" s="11">
        <v>333.37</v>
      </c>
      <c r="O96" s="12"/>
      <c r="P96" s="12"/>
      <c r="Q96" s="12"/>
      <c r="R96" s="12">
        <f>166.685+66.71678+99.96822</f>
        <v>333.37</v>
      </c>
      <c r="S96" s="7" t="s">
        <v>173</v>
      </c>
      <c r="T96" s="7" t="s">
        <v>174</v>
      </c>
      <c r="U96" s="7" t="s">
        <v>57</v>
      </c>
    </row>
    <row r="97" ht="45" customHeight="1" spans="1:21">
      <c r="A97" s="5">
        <f>MAX($A$5:A96)+1</f>
        <v>66</v>
      </c>
      <c r="B97" s="7" t="s">
        <v>413</v>
      </c>
      <c r="C97" s="7" t="s">
        <v>436</v>
      </c>
      <c r="D97" s="7" t="s">
        <v>47</v>
      </c>
      <c r="E97" s="7" t="s">
        <v>269</v>
      </c>
      <c r="F97" s="7" t="s">
        <v>224</v>
      </c>
      <c r="G97" s="7" t="s">
        <v>30</v>
      </c>
      <c r="H97" s="7" t="s">
        <v>437</v>
      </c>
      <c r="I97" s="7" t="s">
        <v>438</v>
      </c>
      <c r="J97" s="7" t="s">
        <v>33</v>
      </c>
      <c r="K97" s="7" t="s">
        <v>34</v>
      </c>
      <c r="L97" s="10" t="s">
        <v>35</v>
      </c>
      <c r="M97" s="7">
        <f t="shared" si="2"/>
        <v>251.846176</v>
      </c>
      <c r="N97" s="11">
        <v>251.846176</v>
      </c>
      <c r="O97" s="12"/>
      <c r="P97" s="12"/>
      <c r="Q97" s="12"/>
      <c r="R97" s="12">
        <f>125.923088+50.369235+75.553853</f>
        <v>251.846176</v>
      </c>
      <c r="S97" s="7" t="s">
        <v>439</v>
      </c>
      <c r="T97" s="7" t="s">
        <v>440</v>
      </c>
      <c r="U97" s="7" t="s">
        <v>57</v>
      </c>
    </row>
    <row r="98" ht="45" customHeight="1" spans="1:21">
      <c r="A98" s="5">
        <f>MAX($A$5:A97)+1</f>
        <v>67</v>
      </c>
      <c r="B98" s="7" t="s">
        <v>413</v>
      </c>
      <c r="C98" s="7" t="s">
        <v>441</v>
      </c>
      <c r="D98" s="7" t="s">
        <v>47</v>
      </c>
      <c r="E98" s="7" t="s">
        <v>269</v>
      </c>
      <c r="F98" s="7" t="s">
        <v>219</v>
      </c>
      <c r="G98" s="7" t="s">
        <v>30</v>
      </c>
      <c r="H98" s="7" t="s">
        <v>442</v>
      </c>
      <c r="I98" s="7" t="s">
        <v>443</v>
      </c>
      <c r="J98" s="7" t="s">
        <v>33</v>
      </c>
      <c r="K98" s="7" t="s">
        <v>34</v>
      </c>
      <c r="L98" s="10" t="s">
        <v>35</v>
      </c>
      <c r="M98" s="7">
        <f t="shared" si="2"/>
        <v>188.1277</v>
      </c>
      <c r="N98" s="11">
        <v>188.1277</v>
      </c>
      <c r="O98" s="12"/>
      <c r="P98" s="12"/>
      <c r="Q98" s="12"/>
      <c r="R98" s="12">
        <f>94.12+37.648+37.648</f>
        <v>169.416</v>
      </c>
      <c r="S98" s="7" t="s">
        <v>444</v>
      </c>
      <c r="T98" s="7" t="s">
        <v>445</v>
      </c>
      <c r="U98" s="7" t="s">
        <v>57</v>
      </c>
    </row>
    <row r="99" ht="45" customHeight="1" spans="1:21">
      <c r="A99" s="5">
        <f>MAX($A$5:A98)+1</f>
        <v>68</v>
      </c>
      <c r="B99" s="7" t="s">
        <v>413</v>
      </c>
      <c r="C99" s="7" t="s">
        <v>446</v>
      </c>
      <c r="D99" s="7" t="s">
        <v>47</v>
      </c>
      <c r="E99" s="7" t="s">
        <v>169</v>
      </c>
      <c r="F99" s="7" t="s">
        <v>219</v>
      </c>
      <c r="G99" s="7" t="s">
        <v>30</v>
      </c>
      <c r="H99" s="7" t="s">
        <v>447</v>
      </c>
      <c r="I99" s="7" t="s">
        <v>448</v>
      </c>
      <c r="J99" s="7" t="s">
        <v>33</v>
      </c>
      <c r="K99" s="7" t="s">
        <v>34</v>
      </c>
      <c r="L99" s="10" t="s">
        <v>35</v>
      </c>
      <c r="M99" s="7">
        <f t="shared" si="2"/>
        <v>85.15</v>
      </c>
      <c r="N99" s="11">
        <v>85.15</v>
      </c>
      <c r="O99" s="12"/>
      <c r="P99" s="12"/>
      <c r="Q99" s="12"/>
      <c r="R99" s="12">
        <f>42.575+17.03+25.545</f>
        <v>85.15</v>
      </c>
      <c r="S99" s="7" t="s">
        <v>449</v>
      </c>
      <c r="T99" s="7" t="s">
        <v>450</v>
      </c>
      <c r="U99" s="7" t="s">
        <v>57</v>
      </c>
    </row>
    <row r="100" ht="45" customHeight="1" spans="1:21">
      <c r="A100" s="5">
        <f>MAX($A$5:A99)+1</f>
        <v>69</v>
      </c>
      <c r="B100" s="7" t="s">
        <v>413</v>
      </c>
      <c r="C100" s="7" t="s">
        <v>451</v>
      </c>
      <c r="D100" s="7" t="s">
        <v>39</v>
      </c>
      <c r="E100" s="7" t="s">
        <v>40</v>
      </c>
      <c r="F100" s="7" t="s">
        <v>109</v>
      </c>
      <c r="G100" s="7" t="s">
        <v>30</v>
      </c>
      <c r="H100" s="7" t="s">
        <v>110</v>
      </c>
      <c r="I100" s="7" t="s">
        <v>452</v>
      </c>
      <c r="J100" s="7" t="s">
        <v>33</v>
      </c>
      <c r="K100" s="7" t="s">
        <v>34</v>
      </c>
      <c r="L100" s="10" t="s">
        <v>35</v>
      </c>
      <c r="M100" s="7">
        <f t="shared" si="2"/>
        <v>72.05</v>
      </c>
      <c r="N100" s="11">
        <v>72.05</v>
      </c>
      <c r="O100" s="12"/>
      <c r="P100" s="12"/>
      <c r="Q100" s="12"/>
      <c r="R100" s="12">
        <f>36.025+28.82+7.205</f>
        <v>72.05</v>
      </c>
      <c r="S100" s="7" t="s">
        <v>453</v>
      </c>
      <c r="T100" s="7" t="s">
        <v>454</v>
      </c>
      <c r="U100" s="7" t="s">
        <v>37</v>
      </c>
    </row>
    <row r="101" ht="45" customHeight="1" spans="1:21">
      <c r="A101" s="5">
        <f>MAX($A$5:A100)+1</f>
        <v>70</v>
      </c>
      <c r="B101" s="7" t="s">
        <v>413</v>
      </c>
      <c r="C101" s="7" t="s">
        <v>455</v>
      </c>
      <c r="D101" s="7" t="s">
        <v>39</v>
      </c>
      <c r="E101" s="7" t="s">
        <v>59</v>
      </c>
      <c r="F101" s="7" t="s">
        <v>109</v>
      </c>
      <c r="G101" s="7" t="s">
        <v>30</v>
      </c>
      <c r="H101" s="7" t="s">
        <v>456</v>
      </c>
      <c r="I101" s="7" t="s">
        <v>457</v>
      </c>
      <c r="J101" s="7" t="s">
        <v>33</v>
      </c>
      <c r="K101" s="7" t="s">
        <v>34</v>
      </c>
      <c r="L101" s="10" t="s">
        <v>35</v>
      </c>
      <c r="M101" s="7">
        <f t="shared" si="2"/>
        <v>40.32</v>
      </c>
      <c r="N101" s="15">
        <v>40.32</v>
      </c>
      <c r="O101" s="7"/>
      <c r="P101" s="7"/>
      <c r="Q101" s="7"/>
      <c r="R101" s="7">
        <f>20.16+16.128+4.032</f>
        <v>40.32</v>
      </c>
      <c r="S101" s="7" t="s">
        <v>458</v>
      </c>
      <c r="T101" s="7" t="s">
        <v>459</v>
      </c>
      <c r="U101" s="7" t="s">
        <v>37</v>
      </c>
    </row>
    <row r="102" ht="45" customHeight="1" spans="1:21">
      <c r="A102" s="5">
        <f>MAX($A$5:A101)+1</f>
        <v>71</v>
      </c>
      <c r="B102" s="7" t="s">
        <v>413</v>
      </c>
      <c r="C102" s="7" t="s">
        <v>460</v>
      </c>
      <c r="D102" s="7" t="s">
        <v>39</v>
      </c>
      <c r="E102" s="7" t="s">
        <v>59</v>
      </c>
      <c r="F102" s="7" t="s">
        <v>103</v>
      </c>
      <c r="G102" s="7" t="s">
        <v>30</v>
      </c>
      <c r="H102" s="7" t="s">
        <v>461</v>
      </c>
      <c r="I102" s="7" t="s">
        <v>462</v>
      </c>
      <c r="J102" s="7" t="s">
        <v>33</v>
      </c>
      <c r="K102" s="7" t="s">
        <v>34</v>
      </c>
      <c r="L102" s="10" t="s">
        <v>35</v>
      </c>
      <c r="M102" s="7">
        <f t="shared" si="2"/>
        <v>87.64</v>
      </c>
      <c r="N102" s="7">
        <v>87.64</v>
      </c>
      <c r="O102" s="7"/>
      <c r="P102" s="7"/>
      <c r="Q102" s="7"/>
      <c r="R102" s="7">
        <f>43.82+43.82</f>
        <v>87.64</v>
      </c>
      <c r="S102" s="7" t="s">
        <v>463</v>
      </c>
      <c r="T102" s="7" t="s">
        <v>464</v>
      </c>
      <c r="U102" s="7" t="s">
        <v>37</v>
      </c>
    </row>
    <row r="103" ht="45" customHeight="1" spans="1:21">
      <c r="A103" s="5">
        <f>MAX($A$5:A102)+1</f>
        <v>72</v>
      </c>
      <c r="B103" s="7" t="s">
        <v>413</v>
      </c>
      <c r="C103" s="7" t="s">
        <v>465</v>
      </c>
      <c r="D103" s="7" t="s">
        <v>47</v>
      </c>
      <c r="E103" s="7" t="s">
        <v>269</v>
      </c>
      <c r="F103" s="7" t="s">
        <v>49</v>
      </c>
      <c r="G103" s="7" t="s">
        <v>30</v>
      </c>
      <c r="H103" s="7" t="s">
        <v>466</v>
      </c>
      <c r="I103" s="7" t="s">
        <v>467</v>
      </c>
      <c r="J103" s="7" t="s">
        <v>33</v>
      </c>
      <c r="K103" s="7" t="s">
        <v>34</v>
      </c>
      <c r="L103" s="10" t="s">
        <v>35</v>
      </c>
      <c r="M103" s="7">
        <f t="shared" si="2"/>
        <v>380.51</v>
      </c>
      <c r="N103" s="7">
        <v>380.51</v>
      </c>
      <c r="O103" s="7"/>
      <c r="P103" s="7"/>
      <c r="Q103" s="7"/>
      <c r="R103" s="7">
        <f>172.255+18+152.204</f>
        <v>342.459</v>
      </c>
      <c r="S103" s="7" t="s">
        <v>468</v>
      </c>
      <c r="T103" s="7" t="s">
        <v>469</v>
      </c>
      <c r="U103" s="7" t="s">
        <v>57</v>
      </c>
    </row>
    <row r="104" ht="45" customHeight="1" spans="1:21">
      <c r="A104" s="5">
        <f>MAX($A$5:A103)+1</f>
        <v>73</v>
      </c>
      <c r="B104" s="7" t="s">
        <v>413</v>
      </c>
      <c r="C104" s="7" t="s">
        <v>470</v>
      </c>
      <c r="D104" s="7" t="s">
        <v>47</v>
      </c>
      <c r="E104" s="7" t="s">
        <v>66</v>
      </c>
      <c r="F104" s="7" t="s">
        <v>67</v>
      </c>
      <c r="G104" s="7" t="s">
        <v>30</v>
      </c>
      <c r="H104" s="7" t="s">
        <v>471</v>
      </c>
      <c r="I104" s="7" t="s">
        <v>472</v>
      </c>
      <c r="J104" s="7" t="s">
        <v>33</v>
      </c>
      <c r="K104" s="7" t="s">
        <v>34</v>
      </c>
      <c r="L104" s="10" t="s">
        <v>35</v>
      </c>
      <c r="M104" s="7">
        <f t="shared" si="2"/>
        <v>138.033984</v>
      </c>
      <c r="N104" s="15">
        <v>138.033984</v>
      </c>
      <c r="O104" s="7"/>
      <c r="P104" s="7"/>
      <c r="Q104" s="7"/>
      <c r="R104" s="7">
        <f>70.6+28.24+28.24+14.12</f>
        <v>141.2</v>
      </c>
      <c r="S104" s="7" t="s">
        <v>473</v>
      </c>
      <c r="T104" s="7" t="s">
        <v>474</v>
      </c>
      <c r="U104" s="7" t="s">
        <v>57</v>
      </c>
    </row>
    <row r="105" ht="45" customHeight="1" spans="1:21">
      <c r="A105" s="5">
        <f>MAX($A$5:A104)+1</f>
        <v>74</v>
      </c>
      <c r="B105" s="7" t="s">
        <v>413</v>
      </c>
      <c r="C105" s="7" t="s">
        <v>475</v>
      </c>
      <c r="D105" s="7" t="s">
        <v>47</v>
      </c>
      <c r="E105" s="7" t="s">
        <v>48</v>
      </c>
      <c r="F105" s="7" t="s">
        <v>197</v>
      </c>
      <c r="G105" s="7" t="s">
        <v>30</v>
      </c>
      <c r="H105" s="7" t="s">
        <v>476</v>
      </c>
      <c r="I105" s="7" t="s">
        <v>477</v>
      </c>
      <c r="J105" s="7" t="s">
        <v>33</v>
      </c>
      <c r="K105" s="7" t="s">
        <v>34</v>
      </c>
      <c r="L105" s="10" t="s">
        <v>35</v>
      </c>
      <c r="M105" s="7">
        <f t="shared" si="2"/>
        <v>267.5159</v>
      </c>
      <c r="N105" s="7">
        <v>267.5159</v>
      </c>
      <c r="O105" s="7"/>
      <c r="P105" s="7"/>
      <c r="Q105" s="7"/>
      <c r="R105" s="7">
        <f>133.75+120.38</f>
        <v>254.13</v>
      </c>
      <c r="S105" s="7" t="s">
        <v>478</v>
      </c>
      <c r="T105" s="7" t="s">
        <v>479</v>
      </c>
      <c r="U105" s="7" t="s">
        <v>57</v>
      </c>
    </row>
    <row r="106" ht="45" customHeight="1" spans="1:21">
      <c r="A106" s="5">
        <f>MAX($A$5:A105)+1</f>
        <v>75</v>
      </c>
      <c r="B106" s="7" t="s">
        <v>413</v>
      </c>
      <c r="C106" s="7" t="s">
        <v>480</v>
      </c>
      <c r="D106" s="7" t="s">
        <v>47</v>
      </c>
      <c r="E106" s="7" t="s">
        <v>397</v>
      </c>
      <c r="F106" s="7" t="s">
        <v>481</v>
      </c>
      <c r="G106" s="7" t="s">
        <v>481</v>
      </c>
      <c r="H106" s="7" t="s">
        <v>31</v>
      </c>
      <c r="I106" s="7" t="s">
        <v>398</v>
      </c>
      <c r="J106" s="7" t="s">
        <v>52</v>
      </c>
      <c r="K106" s="7" t="s">
        <v>53</v>
      </c>
      <c r="L106" s="10" t="s">
        <v>54</v>
      </c>
      <c r="M106" s="7">
        <f t="shared" si="2"/>
        <v>4.054172</v>
      </c>
      <c r="N106" s="7"/>
      <c r="O106" s="7">
        <v>4.054172</v>
      </c>
      <c r="P106" s="7"/>
      <c r="Q106" s="7"/>
      <c r="R106" s="7">
        <f>4.054172</f>
        <v>4.054172</v>
      </c>
      <c r="S106" s="7"/>
      <c r="T106" s="7" t="s">
        <v>482</v>
      </c>
      <c r="U106" s="7" t="s">
        <v>130</v>
      </c>
    </row>
    <row r="107" ht="45" customHeight="1" spans="1:21">
      <c r="A107" s="5">
        <f>MAX($A$5:A106)+1</f>
        <v>76</v>
      </c>
      <c r="B107" s="7" t="s">
        <v>413</v>
      </c>
      <c r="C107" s="7" t="s">
        <v>483</v>
      </c>
      <c r="D107" s="7" t="s">
        <v>28</v>
      </c>
      <c r="E107" s="7" t="s">
        <v>137</v>
      </c>
      <c r="F107" s="7" t="s">
        <v>150</v>
      </c>
      <c r="G107" s="7" t="s">
        <v>150</v>
      </c>
      <c r="H107" s="7" t="s">
        <v>31</v>
      </c>
      <c r="I107" s="7" t="s">
        <v>138</v>
      </c>
      <c r="J107" s="7" t="s">
        <v>52</v>
      </c>
      <c r="K107" s="7" t="s">
        <v>53</v>
      </c>
      <c r="L107" s="10" t="s">
        <v>54</v>
      </c>
      <c r="M107" s="7">
        <f t="shared" si="2"/>
        <v>44.25</v>
      </c>
      <c r="N107" s="7"/>
      <c r="O107" s="15">
        <v>44.25</v>
      </c>
      <c r="P107" s="7"/>
      <c r="Q107" s="7"/>
      <c r="R107" s="7">
        <f>44.25</f>
        <v>44.25</v>
      </c>
      <c r="S107" s="7"/>
      <c r="T107" s="7" t="s">
        <v>484</v>
      </c>
      <c r="U107" s="7" t="s">
        <v>140</v>
      </c>
    </row>
    <row r="108" ht="45" customHeight="1" spans="1:21">
      <c r="A108" s="5">
        <f>MAX($A$5:A107)+1</f>
        <v>77</v>
      </c>
      <c r="B108" s="7" t="s">
        <v>413</v>
      </c>
      <c r="C108" s="7" t="s">
        <v>485</v>
      </c>
      <c r="D108" s="7" t="s">
        <v>47</v>
      </c>
      <c r="E108" s="7" t="s">
        <v>397</v>
      </c>
      <c r="F108" s="7" t="s">
        <v>30</v>
      </c>
      <c r="G108" s="7" t="s">
        <v>30</v>
      </c>
      <c r="H108" s="7" t="s">
        <v>31</v>
      </c>
      <c r="I108" s="7" t="s">
        <v>398</v>
      </c>
      <c r="J108" s="7" t="s">
        <v>52</v>
      </c>
      <c r="K108" s="7" t="s">
        <v>53</v>
      </c>
      <c r="L108" s="10" t="s">
        <v>54</v>
      </c>
      <c r="M108" s="7">
        <f t="shared" si="2"/>
        <v>2.20135</v>
      </c>
      <c r="N108" s="7"/>
      <c r="O108" s="7">
        <v>2.20135</v>
      </c>
      <c r="P108" s="7"/>
      <c r="Q108" s="7"/>
      <c r="R108" s="7">
        <v>2.20135</v>
      </c>
      <c r="S108" s="7"/>
      <c r="T108" s="7" t="s">
        <v>486</v>
      </c>
      <c r="U108" s="7" t="s">
        <v>130</v>
      </c>
    </row>
    <row r="109" ht="45" customHeight="1" spans="1:21">
      <c r="A109" s="5">
        <f>MAX($A$5:A108)+1</f>
        <v>78</v>
      </c>
      <c r="B109" s="7" t="s">
        <v>487</v>
      </c>
      <c r="C109" s="7" t="s">
        <v>488</v>
      </c>
      <c r="D109" s="7" t="s">
        <v>47</v>
      </c>
      <c r="E109" s="7" t="s">
        <v>169</v>
      </c>
      <c r="F109" s="7" t="s">
        <v>224</v>
      </c>
      <c r="G109" s="7" t="s">
        <v>30</v>
      </c>
      <c r="H109" s="7" t="s">
        <v>489</v>
      </c>
      <c r="I109" s="7" t="s">
        <v>490</v>
      </c>
      <c r="J109" s="7" t="s">
        <v>52</v>
      </c>
      <c r="K109" s="7" t="s">
        <v>53</v>
      </c>
      <c r="L109" s="10" t="s">
        <v>54</v>
      </c>
      <c r="M109" s="7">
        <f t="shared" si="2"/>
        <v>117.835</v>
      </c>
      <c r="N109" s="7"/>
      <c r="O109" s="15">
        <v>117.835</v>
      </c>
      <c r="P109" s="7"/>
      <c r="Q109" s="7"/>
      <c r="R109" s="7">
        <f>58.9175+23.567+35.3505</f>
        <v>117.835</v>
      </c>
      <c r="S109" s="20" t="s">
        <v>491</v>
      </c>
      <c r="T109" s="20" t="s">
        <v>492</v>
      </c>
      <c r="U109" s="20" t="s">
        <v>57</v>
      </c>
    </row>
    <row r="110" ht="45" customHeight="1" spans="1:21">
      <c r="A110" s="5">
        <f>MAX($A$5:A109)+1</f>
        <v>79</v>
      </c>
      <c r="B110" s="7" t="s">
        <v>487</v>
      </c>
      <c r="C110" s="7" t="s">
        <v>493</v>
      </c>
      <c r="D110" s="7" t="s">
        <v>47</v>
      </c>
      <c r="E110" s="7" t="s">
        <v>169</v>
      </c>
      <c r="F110" s="7" t="s">
        <v>41</v>
      </c>
      <c r="G110" s="7" t="s">
        <v>30</v>
      </c>
      <c r="H110" s="7" t="s">
        <v>420</v>
      </c>
      <c r="I110" s="7" t="s">
        <v>494</v>
      </c>
      <c r="J110" s="7" t="s">
        <v>52</v>
      </c>
      <c r="K110" s="7" t="s">
        <v>53</v>
      </c>
      <c r="L110" s="10" t="s">
        <v>54</v>
      </c>
      <c r="M110" s="7">
        <f t="shared" si="2"/>
        <v>67.821832</v>
      </c>
      <c r="N110" s="7"/>
      <c r="O110" s="15">
        <v>67.821832</v>
      </c>
      <c r="P110" s="7"/>
      <c r="Q110" s="7"/>
      <c r="R110" s="7">
        <f>34.14+20.48+13.201832</f>
        <v>67.821832</v>
      </c>
      <c r="S110" s="20" t="s">
        <v>422</v>
      </c>
      <c r="T110" s="20" t="s">
        <v>423</v>
      </c>
      <c r="U110" s="20" t="s">
        <v>57</v>
      </c>
    </row>
    <row r="111" ht="45" customHeight="1" spans="1:21">
      <c r="A111" s="5">
        <f>MAX($A$5:A110)+1</f>
        <v>80</v>
      </c>
      <c r="B111" s="7" t="s">
        <v>487</v>
      </c>
      <c r="C111" s="7" t="s">
        <v>495</v>
      </c>
      <c r="D111" s="7" t="s">
        <v>47</v>
      </c>
      <c r="E111" s="7" t="s">
        <v>169</v>
      </c>
      <c r="F111" s="7" t="s">
        <v>41</v>
      </c>
      <c r="G111" s="7" t="s">
        <v>30</v>
      </c>
      <c r="H111" s="7" t="s">
        <v>496</v>
      </c>
      <c r="I111" s="7" t="s">
        <v>497</v>
      </c>
      <c r="J111" s="7" t="s">
        <v>52</v>
      </c>
      <c r="K111" s="7" t="s">
        <v>53</v>
      </c>
      <c r="L111" s="10" t="s">
        <v>54</v>
      </c>
      <c r="M111" s="7">
        <f t="shared" si="2"/>
        <v>115.322316</v>
      </c>
      <c r="N111" s="7"/>
      <c r="O111" s="15">
        <v>115.322316</v>
      </c>
      <c r="P111" s="7"/>
      <c r="Q111" s="7"/>
      <c r="R111" s="7">
        <f>58.16+34.89+22.272316</f>
        <v>115.322316</v>
      </c>
      <c r="S111" s="20" t="s">
        <v>498</v>
      </c>
      <c r="T111" s="20" t="s">
        <v>499</v>
      </c>
      <c r="U111" s="20" t="s">
        <v>57</v>
      </c>
    </row>
    <row r="112" ht="45" customHeight="1" spans="1:21">
      <c r="A112" s="5">
        <f>MAX($A$5:A111)+1</f>
        <v>81</v>
      </c>
      <c r="B112" s="7" t="s">
        <v>487</v>
      </c>
      <c r="C112" s="7" t="s">
        <v>500</v>
      </c>
      <c r="D112" s="7" t="s">
        <v>47</v>
      </c>
      <c r="E112" s="7" t="s">
        <v>269</v>
      </c>
      <c r="F112" s="7" t="s">
        <v>219</v>
      </c>
      <c r="G112" s="7" t="s">
        <v>30</v>
      </c>
      <c r="H112" s="7" t="s">
        <v>501</v>
      </c>
      <c r="I112" s="7" t="s">
        <v>502</v>
      </c>
      <c r="J112" s="7" t="s">
        <v>52</v>
      </c>
      <c r="K112" s="7" t="s">
        <v>53</v>
      </c>
      <c r="L112" s="10" t="s">
        <v>54</v>
      </c>
      <c r="M112" s="7">
        <f t="shared" si="2"/>
        <v>370.1394</v>
      </c>
      <c r="N112" s="7"/>
      <c r="O112" s="15">
        <v>370.1394</v>
      </c>
      <c r="P112" s="7"/>
      <c r="Q112" s="7"/>
      <c r="R112" s="7">
        <f>185.175+74.07+74.07</f>
        <v>333.315</v>
      </c>
      <c r="S112" s="20" t="s">
        <v>503</v>
      </c>
      <c r="T112" s="20" t="s">
        <v>504</v>
      </c>
      <c r="U112" s="20" t="s">
        <v>57</v>
      </c>
    </row>
    <row r="113" ht="45" customHeight="1" spans="1:21">
      <c r="A113" s="5">
        <f>MAX($A$5:A112)+1</f>
        <v>82</v>
      </c>
      <c r="B113" s="7" t="s">
        <v>487</v>
      </c>
      <c r="C113" s="7" t="s">
        <v>505</v>
      </c>
      <c r="D113" s="7" t="s">
        <v>47</v>
      </c>
      <c r="E113" s="7" t="s">
        <v>66</v>
      </c>
      <c r="F113" s="7" t="s">
        <v>60</v>
      </c>
      <c r="G113" s="7" t="s">
        <v>30</v>
      </c>
      <c r="H113" s="7" t="s">
        <v>506</v>
      </c>
      <c r="I113" s="7" t="s">
        <v>507</v>
      </c>
      <c r="J113" s="7" t="s">
        <v>52</v>
      </c>
      <c r="K113" s="7" t="s">
        <v>53</v>
      </c>
      <c r="L113" s="10" t="s">
        <v>54</v>
      </c>
      <c r="M113" s="7">
        <f t="shared" si="2"/>
        <v>161.9</v>
      </c>
      <c r="N113" s="7"/>
      <c r="O113" s="7">
        <v>161.9</v>
      </c>
      <c r="P113" s="7"/>
      <c r="Q113" s="7"/>
      <c r="R113" s="7">
        <f>80.95+48.57+16.19</f>
        <v>145.71</v>
      </c>
      <c r="S113" s="20" t="s">
        <v>508</v>
      </c>
      <c r="T113" s="20" t="s">
        <v>509</v>
      </c>
      <c r="U113" s="20" t="s">
        <v>57</v>
      </c>
    </row>
    <row r="114" ht="45" customHeight="1" spans="1:21">
      <c r="A114" s="5">
        <f>MAX($A$5:A113)+1</f>
        <v>83</v>
      </c>
      <c r="B114" s="7" t="s">
        <v>487</v>
      </c>
      <c r="C114" s="7" t="s">
        <v>510</v>
      </c>
      <c r="D114" s="7" t="s">
        <v>39</v>
      </c>
      <c r="E114" s="7" t="s">
        <v>59</v>
      </c>
      <c r="F114" s="7" t="s">
        <v>109</v>
      </c>
      <c r="G114" s="7" t="s">
        <v>30</v>
      </c>
      <c r="H114" s="7" t="s">
        <v>511</v>
      </c>
      <c r="I114" s="7" t="s">
        <v>512</v>
      </c>
      <c r="J114" s="7" t="s">
        <v>52</v>
      </c>
      <c r="K114" s="7" t="s">
        <v>53</v>
      </c>
      <c r="L114" s="10" t="s">
        <v>54</v>
      </c>
      <c r="M114" s="7">
        <f t="shared" si="2"/>
        <v>99.15</v>
      </c>
      <c r="N114" s="7"/>
      <c r="O114" s="15">
        <v>99.15</v>
      </c>
      <c r="P114" s="7"/>
      <c r="Q114" s="7"/>
      <c r="R114" s="7">
        <f>49.575+39.66+9.915</f>
        <v>99.15</v>
      </c>
      <c r="S114" s="20" t="s">
        <v>513</v>
      </c>
      <c r="T114" s="20" t="s">
        <v>514</v>
      </c>
      <c r="U114" s="20" t="s">
        <v>37</v>
      </c>
    </row>
    <row r="115" ht="45" customHeight="1" spans="1:21">
      <c r="A115" s="5">
        <f>MAX($A$5:A114)+1</f>
        <v>84</v>
      </c>
      <c r="B115" s="7" t="s">
        <v>487</v>
      </c>
      <c r="C115" s="7" t="s">
        <v>515</v>
      </c>
      <c r="D115" s="7" t="s">
        <v>47</v>
      </c>
      <c r="E115" s="7" t="s">
        <v>269</v>
      </c>
      <c r="F115" s="7" t="s">
        <v>187</v>
      </c>
      <c r="G115" s="7" t="s">
        <v>30</v>
      </c>
      <c r="H115" s="7" t="s">
        <v>516</v>
      </c>
      <c r="I115" s="7" t="s">
        <v>517</v>
      </c>
      <c r="J115" s="7" t="s">
        <v>52</v>
      </c>
      <c r="K115" s="7" t="s">
        <v>53</v>
      </c>
      <c r="L115" s="10" t="s">
        <v>54</v>
      </c>
      <c r="M115" s="7">
        <f t="shared" si="2"/>
        <v>380.77</v>
      </c>
      <c r="N115" s="7"/>
      <c r="O115" s="15">
        <v>380.77</v>
      </c>
      <c r="P115" s="7"/>
      <c r="Q115" s="7"/>
      <c r="R115" s="7">
        <f>114.231+190.385</f>
        <v>304.616</v>
      </c>
      <c r="S115" s="20" t="s">
        <v>518</v>
      </c>
      <c r="T115" s="20" t="s">
        <v>519</v>
      </c>
      <c r="U115" s="20" t="s">
        <v>57</v>
      </c>
    </row>
    <row r="116" ht="45" customHeight="1" spans="1:21">
      <c r="A116" s="7">
        <f>MAX($A$5:A115)+1</f>
        <v>85</v>
      </c>
      <c r="B116" s="7" t="s">
        <v>520</v>
      </c>
      <c r="C116" s="7" t="s">
        <v>521</v>
      </c>
      <c r="D116" s="7" t="s">
        <v>28</v>
      </c>
      <c r="E116" s="7" t="s">
        <v>29</v>
      </c>
      <c r="F116" s="7" t="s">
        <v>30</v>
      </c>
      <c r="G116" s="7" t="s">
        <v>30</v>
      </c>
      <c r="H116" s="7" t="s">
        <v>31</v>
      </c>
      <c r="I116" s="7" t="s">
        <v>32</v>
      </c>
      <c r="J116" s="7" t="s">
        <v>52</v>
      </c>
      <c r="K116" s="7" t="s">
        <v>522</v>
      </c>
      <c r="L116" s="10" t="s">
        <v>54</v>
      </c>
      <c r="M116" s="7">
        <f t="shared" si="2"/>
        <v>92.84</v>
      </c>
      <c r="N116" s="7"/>
      <c r="O116" s="7">
        <v>92.84</v>
      </c>
      <c r="P116" s="7"/>
      <c r="Q116" s="7"/>
      <c r="R116" s="7">
        <v>92.84</v>
      </c>
      <c r="S116" s="20"/>
      <c r="T116" s="20" t="s">
        <v>523</v>
      </c>
      <c r="U116" s="20" t="s">
        <v>524</v>
      </c>
    </row>
    <row r="117" ht="45" customHeight="1" spans="1:21">
      <c r="A117" s="7">
        <f>MAX($A$5:A116)+1</f>
        <v>86</v>
      </c>
      <c r="B117" s="7" t="s">
        <v>520</v>
      </c>
      <c r="C117" s="7" t="s">
        <v>525</v>
      </c>
      <c r="D117" s="7" t="s">
        <v>28</v>
      </c>
      <c r="E117" s="7" t="s">
        <v>137</v>
      </c>
      <c r="F117" s="7" t="s">
        <v>30</v>
      </c>
      <c r="G117" s="7" t="s">
        <v>30</v>
      </c>
      <c r="H117" s="7" t="s">
        <v>31</v>
      </c>
      <c r="I117" s="7" t="s">
        <v>138</v>
      </c>
      <c r="J117" s="7" t="s">
        <v>52</v>
      </c>
      <c r="K117" s="7" t="s">
        <v>522</v>
      </c>
      <c r="L117" s="10" t="s">
        <v>54</v>
      </c>
      <c r="M117" s="7">
        <f t="shared" si="2"/>
        <v>397.95</v>
      </c>
      <c r="N117" s="7"/>
      <c r="O117" s="15">
        <v>397.95</v>
      </c>
      <c r="P117" s="7"/>
      <c r="Q117" s="7"/>
      <c r="R117" s="7">
        <v>398.16</v>
      </c>
      <c r="S117" s="20"/>
      <c r="T117" s="20" t="s">
        <v>526</v>
      </c>
      <c r="U117" s="20" t="s">
        <v>140</v>
      </c>
    </row>
    <row r="118" ht="45" customHeight="1" spans="1:21">
      <c r="A118" s="7">
        <f>MAX($A$5:A117)+1</f>
        <v>87</v>
      </c>
      <c r="B118" s="7" t="s">
        <v>520</v>
      </c>
      <c r="C118" s="7" t="s">
        <v>527</v>
      </c>
      <c r="D118" s="7" t="s">
        <v>28</v>
      </c>
      <c r="E118" s="7" t="s">
        <v>137</v>
      </c>
      <c r="F118" s="7" t="s">
        <v>154</v>
      </c>
      <c r="G118" s="7" t="s">
        <v>154</v>
      </c>
      <c r="H118" s="7" t="s">
        <v>31</v>
      </c>
      <c r="I118" s="7" t="s">
        <v>138</v>
      </c>
      <c r="J118" s="7" t="s">
        <v>52</v>
      </c>
      <c r="K118" s="7" t="s">
        <v>522</v>
      </c>
      <c r="L118" s="10" t="s">
        <v>54</v>
      </c>
      <c r="M118" s="7">
        <f t="shared" si="2"/>
        <v>29.04</v>
      </c>
      <c r="N118" s="7"/>
      <c r="O118" s="15">
        <v>29.04</v>
      </c>
      <c r="P118" s="7"/>
      <c r="Q118" s="7"/>
      <c r="R118" s="7">
        <v>29.04</v>
      </c>
      <c r="S118" s="20"/>
      <c r="T118" s="20" t="s">
        <v>155</v>
      </c>
      <c r="U118" s="20" t="s">
        <v>140</v>
      </c>
    </row>
    <row r="119" ht="45" customHeight="1" spans="1:21">
      <c r="A119" s="7">
        <f>MAX($A$5:A118)+1</f>
        <v>88</v>
      </c>
      <c r="B119" s="7" t="s">
        <v>520</v>
      </c>
      <c r="C119" s="7" t="s">
        <v>528</v>
      </c>
      <c r="D119" s="7" t="s">
        <v>28</v>
      </c>
      <c r="E119" s="7" t="s">
        <v>137</v>
      </c>
      <c r="F119" s="7" t="s">
        <v>157</v>
      </c>
      <c r="G119" s="7" t="s">
        <v>157</v>
      </c>
      <c r="H119" s="7" t="s">
        <v>31</v>
      </c>
      <c r="I119" s="7" t="s">
        <v>138</v>
      </c>
      <c r="J119" s="7" t="s">
        <v>144</v>
      </c>
      <c r="K119" s="7" t="s">
        <v>151</v>
      </c>
      <c r="L119" s="10" t="s">
        <v>146</v>
      </c>
      <c r="M119" s="7">
        <f t="shared" si="2"/>
        <v>62.12</v>
      </c>
      <c r="N119" s="7"/>
      <c r="O119" s="7"/>
      <c r="P119" s="7">
        <v>62.12</v>
      </c>
      <c r="Q119" s="7"/>
      <c r="R119" s="7">
        <v>62.12</v>
      </c>
      <c r="S119" s="20"/>
      <c r="T119" s="20" t="s">
        <v>529</v>
      </c>
      <c r="U119" s="20" t="s">
        <v>140</v>
      </c>
    </row>
    <row r="120" ht="45" customHeight="1" spans="1:21">
      <c r="A120" s="7">
        <f>MAX($A$5:A119)+1</f>
        <v>89</v>
      </c>
      <c r="B120" s="7" t="s">
        <v>520</v>
      </c>
      <c r="C120" s="7" t="s">
        <v>530</v>
      </c>
      <c r="D120" s="7" t="s">
        <v>28</v>
      </c>
      <c r="E120" s="7" t="s">
        <v>137</v>
      </c>
      <c r="F120" s="7" t="s">
        <v>160</v>
      </c>
      <c r="G120" s="7" t="s">
        <v>160</v>
      </c>
      <c r="H120" s="7" t="s">
        <v>31</v>
      </c>
      <c r="I120" s="7" t="s">
        <v>138</v>
      </c>
      <c r="J120" s="7" t="s">
        <v>144</v>
      </c>
      <c r="K120" s="7" t="s">
        <v>151</v>
      </c>
      <c r="L120" s="10" t="s">
        <v>146</v>
      </c>
      <c r="M120" s="7">
        <f t="shared" si="2"/>
        <v>71.25</v>
      </c>
      <c r="N120" s="7"/>
      <c r="O120" s="7"/>
      <c r="P120" s="15">
        <v>71.25</v>
      </c>
      <c r="Q120" s="7"/>
      <c r="R120" s="7">
        <v>71.25</v>
      </c>
      <c r="S120" s="20"/>
      <c r="T120" s="20" t="s">
        <v>531</v>
      </c>
      <c r="U120" s="20" t="s">
        <v>140</v>
      </c>
    </row>
    <row r="121" ht="45" customHeight="1" spans="1:21">
      <c r="A121" s="7">
        <f>MAX($A$5:A120)+1</f>
        <v>90</v>
      </c>
      <c r="B121" s="7" t="s">
        <v>532</v>
      </c>
      <c r="C121" s="7" t="s">
        <v>533</v>
      </c>
      <c r="D121" s="7" t="s">
        <v>39</v>
      </c>
      <c r="E121" s="7" t="s">
        <v>40</v>
      </c>
      <c r="F121" s="7" t="s">
        <v>109</v>
      </c>
      <c r="G121" s="7" t="s">
        <v>30</v>
      </c>
      <c r="H121" s="7" t="s">
        <v>534</v>
      </c>
      <c r="I121" s="7" t="s">
        <v>535</v>
      </c>
      <c r="J121" s="7" t="s">
        <v>144</v>
      </c>
      <c r="K121" s="7" t="s">
        <v>145</v>
      </c>
      <c r="L121" s="10" t="s">
        <v>146</v>
      </c>
      <c r="M121" s="7">
        <f t="shared" si="2"/>
        <v>17.2</v>
      </c>
      <c r="N121" s="7"/>
      <c r="O121" s="7"/>
      <c r="P121" s="15">
        <v>17.2</v>
      </c>
      <c r="Q121" s="7"/>
      <c r="R121" s="7">
        <f>8.6+5.16</f>
        <v>13.76</v>
      </c>
      <c r="S121" s="20" t="s">
        <v>536</v>
      </c>
      <c r="T121" s="20" t="s">
        <v>537</v>
      </c>
      <c r="U121" s="20" t="s">
        <v>37</v>
      </c>
    </row>
    <row r="122" ht="45" customHeight="1" spans="1:21">
      <c r="A122" s="7">
        <f>MAX($A$5:A121)+1</f>
        <v>91</v>
      </c>
      <c r="B122" s="7" t="s">
        <v>532</v>
      </c>
      <c r="C122" s="7" t="s">
        <v>538</v>
      </c>
      <c r="D122" s="7" t="s">
        <v>47</v>
      </c>
      <c r="E122" s="7" t="s">
        <v>48</v>
      </c>
      <c r="F122" s="7" t="s">
        <v>109</v>
      </c>
      <c r="G122" s="7" t="s">
        <v>30</v>
      </c>
      <c r="H122" s="7" t="s">
        <v>115</v>
      </c>
      <c r="I122" s="7" t="s">
        <v>539</v>
      </c>
      <c r="J122" s="7" t="s">
        <v>144</v>
      </c>
      <c r="K122" s="7" t="s">
        <v>145</v>
      </c>
      <c r="L122" s="10" t="s">
        <v>146</v>
      </c>
      <c r="M122" s="7">
        <f t="shared" si="2"/>
        <v>146.87</v>
      </c>
      <c r="N122" s="7"/>
      <c r="O122" s="7"/>
      <c r="P122" s="15">
        <v>146.87</v>
      </c>
      <c r="Q122" s="7"/>
      <c r="R122" s="7">
        <f>73.435+44.061</f>
        <v>117.496</v>
      </c>
      <c r="S122" s="20" t="s">
        <v>540</v>
      </c>
      <c r="T122" s="20" t="s">
        <v>541</v>
      </c>
      <c r="U122" s="20" t="s">
        <v>175</v>
      </c>
    </row>
    <row r="123" ht="45" customHeight="1" spans="1:21">
      <c r="A123" s="7">
        <f>MAX($A$5:A122)+1</f>
        <v>92</v>
      </c>
      <c r="B123" s="7" t="s">
        <v>532</v>
      </c>
      <c r="C123" s="7" t="s">
        <v>542</v>
      </c>
      <c r="D123" s="7" t="s">
        <v>47</v>
      </c>
      <c r="E123" s="7" t="s">
        <v>48</v>
      </c>
      <c r="F123" s="7" t="s">
        <v>103</v>
      </c>
      <c r="G123" s="7" t="s">
        <v>30</v>
      </c>
      <c r="H123" s="7" t="s">
        <v>543</v>
      </c>
      <c r="I123" s="7" t="s">
        <v>544</v>
      </c>
      <c r="J123" s="7" t="s">
        <v>144</v>
      </c>
      <c r="K123" s="7" t="s">
        <v>145</v>
      </c>
      <c r="L123" s="10" t="s">
        <v>146</v>
      </c>
      <c r="M123" s="7">
        <f t="shared" si="2"/>
        <v>241.18</v>
      </c>
      <c r="N123" s="7"/>
      <c r="O123" s="7"/>
      <c r="P123" s="7">
        <v>241.18</v>
      </c>
      <c r="Q123" s="7"/>
      <c r="R123" s="7">
        <f>120.59+72.354</f>
        <v>192.944</v>
      </c>
      <c r="S123" s="20" t="s">
        <v>545</v>
      </c>
      <c r="T123" s="20" t="s">
        <v>546</v>
      </c>
      <c r="U123" s="20" t="s">
        <v>175</v>
      </c>
    </row>
    <row r="124" ht="45" customHeight="1" spans="1:21">
      <c r="A124" s="7">
        <f>MAX($A$5:A123)+1</f>
        <v>93</v>
      </c>
      <c r="B124" s="7" t="s">
        <v>532</v>
      </c>
      <c r="C124" s="7" t="s">
        <v>547</v>
      </c>
      <c r="D124" s="7" t="s">
        <v>47</v>
      </c>
      <c r="E124" s="7" t="s">
        <v>66</v>
      </c>
      <c r="F124" s="7" t="s">
        <v>67</v>
      </c>
      <c r="G124" s="7" t="s">
        <v>30</v>
      </c>
      <c r="H124" s="7" t="s">
        <v>548</v>
      </c>
      <c r="I124" s="7" t="s">
        <v>549</v>
      </c>
      <c r="J124" s="7" t="s">
        <v>144</v>
      </c>
      <c r="K124" s="7" t="s">
        <v>145</v>
      </c>
      <c r="L124" s="10" t="s">
        <v>146</v>
      </c>
      <c r="M124" s="7">
        <f t="shared" si="2"/>
        <v>333.9</v>
      </c>
      <c r="N124" s="7"/>
      <c r="O124" s="7"/>
      <c r="P124" s="15">
        <v>333.9</v>
      </c>
      <c r="Q124" s="7"/>
      <c r="R124" s="7">
        <f>166.95+66.78</f>
        <v>233.73</v>
      </c>
      <c r="S124" s="20" t="s">
        <v>550</v>
      </c>
      <c r="T124" s="20" t="s">
        <v>551</v>
      </c>
      <c r="U124" s="20" t="s">
        <v>175</v>
      </c>
    </row>
    <row r="125" ht="45" customHeight="1" spans="1:21">
      <c r="A125" s="7">
        <f>MAX($A$5:A124)+1</f>
        <v>94</v>
      </c>
      <c r="B125" s="7" t="s">
        <v>532</v>
      </c>
      <c r="C125" s="7" t="s">
        <v>552</v>
      </c>
      <c r="D125" s="7" t="s">
        <v>47</v>
      </c>
      <c r="E125" s="7" t="s">
        <v>48</v>
      </c>
      <c r="F125" s="7" t="s">
        <v>219</v>
      </c>
      <c r="G125" s="7" t="s">
        <v>30</v>
      </c>
      <c r="H125" s="7" t="s">
        <v>553</v>
      </c>
      <c r="I125" s="7" t="s">
        <v>554</v>
      </c>
      <c r="J125" s="7" t="s">
        <v>144</v>
      </c>
      <c r="K125" s="7" t="s">
        <v>145</v>
      </c>
      <c r="L125" s="10" t="s">
        <v>146</v>
      </c>
      <c r="M125" s="7">
        <f t="shared" si="2"/>
        <v>385.4785</v>
      </c>
      <c r="N125" s="7"/>
      <c r="O125" s="7"/>
      <c r="P125" s="15">
        <v>385.4785</v>
      </c>
      <c r="Q125" s="7"/>
      <c r="R125" s="7">
        <f>192.925+115.755</f>
        <v>308.68</v>
      </c>
      <c r="S125" s="20" t="s">
        <v>555</v>
      </c>
      <c r="T125" s="20" t="s">
        <v>556</v>
      </c>
      <c r="U125" s="20" t="s">
        <v>57</v>
      </c>
    </row>
    <row r="126" ht="45" customHeight="1" spans="1:21">
      <c r="A126" s="7">
        <f>MAX($A$5:A125)+1</f>
        <v>95</v>
      </c>
      <c r="B126" s="7" t="s">
        <v>532</v>
      </c>
      <c r="C126" s="7" t="s">
        <v>557</v>
      </c>
      <c r="D126" s="7" t="s">
        <v>47</v>
      </c>
      <c r="E126" s="7" t="s">
        <v>66</v>
      </c>
      <c r="F126" s="7" t="s">
        <v>170</v>
      </c>
      <c r="G126" s="7" t="s">
        <v>30</v>
      </c>
      <c r="H126" s="7" t="s">
        <v>171</v>
      </c>
      <c r="I126" s="7" t="s">
        <v>558</v>
      </c>
      <c r="J126" s="7" t="s">
        <v>144</v>
      </c>
      <c r="K126" s="7" t="s">
        <v>145</v>
      </c>
      <c r="L126" s="10" t="s">
        <v>146</v>
      </c>
      <c r="M126" s="7">
        <f t="shared" si="2"/>
        <v>192.2</v>
      </c>
      <c r="N126" s="7"/>
      <c r="O126" s="7"/>
      <c r="P126" s="15">
        <v>192.2</v>
      </c>
      <c r="Q126" s="7"/>
      <c r="R126" s="7">
        <f>134.54+38.44</f>
        <v>172.98</v>
      </c>
      <c r="S126" s="20" t="s">
        <v>173</v>
      </c>
      <c r="T126" s="20" t="s">
        <v>559</v>
      </c>
      <c r="U126" s="20" t="s">
        <v>57</v>
      </c>
    </row>
    <row r="127" ht="45" customHeight="1" spans="1:21">
      <c r="A127" s="7">
        <f>MAX($A$5:A126)+1</f>
        <v>96</v>
      </c>
      <c r="B127" s="7" t="s">
        <v>532</v>
      </c>
      <c r="C127" s="7" t="s">
        <v>560</v>
      </c>
      <c r="D127" s="7" t="s">
        <v>47</v>
      </c>
      <c r="E127" s="7" t="s">
        <v>269</v>
      </c>
      <c r="F127" s="7" t="s">
        <v>187</v>
      </c>
      <c r="G127" s="7" t="s">
        <v>30</v>
      </c>
      <c r="H127" s="7" t="s">
        <v>561</v>
      </c>
      <c r="I127" s="7" t="s">
        <v>562</v>
      </c>
      <c r="J127" s="7" t="s">
        <v>144</v>
      </c>
      <c r="K127" s="7" t="s">
        <v>151</v>
      </c>
      <c r="L127" s="10" t="s">
        <v>146</v>
      </c>
      <c r="M127" s="7">
        <f t="shared" si="2"/>
        <v>31.6434</v>
      </c>
      <c r="N127" s="7"/>
      <c r="O127" s="7"/>
      <c r="P127" s="15">
        <v>31.6434</v>
      </c>
      <c r="Q127" s="7"/>
      <c r="R127" s="7">
        <f>15.845+15.7984</f>
        <v>31.6434</v>
      </c>
      <c r="S127" s="20" t="s">
        <v>563</v>
      </c>
      <c r="T127" s="20" t="s">
        <v>564</v>
      </c>
      <c r="U127" s="20" t="s">
        <v>57</v>
      </c>
    </row>
    <row r="128" ht="45" customHeight="1" spans="1:21">
      <c r="A128" s="7">
        <f>MAX($A$5:A127)+1</f>
        <v>97</v>
      </c>
      <c r="B128" s="7" t="s">
        <v>532</v>
      </c>
      <c r="C128" s="7" t="s">
        <v>565</v>
      </c>
      <c r="D128" s="7" t="s">
        <v>39</v>
      </c>
      <c r="E128" s="7" t="s">
        <v>40</v>
      </c>
      <c r="F128" s="7" t="s">
        <v>84</v>
      </c>
      <c r="G128" s="7" t="s">
        <v>30</v>
      </c>
      <c r="H128" s="7" t="s">
        <v>566</v>
      </c>
      <c r="I128" s="7" t="s">
        <v>567</v>
      </c>
      <c r="J128" s="7" t="s">
        <v>144</v>
      </c>
      <c r="K128" s="7" t="s">
        <v>151</v>
      </c>
      <c r="L128" s="10" t="s">
        <v>146</v>
      </c>
      <c r="M128" s="7">
        <f t="shared" si="2"/>
        <v>34.47</v>
      </c>
      <c r="N128" s="7"/>
      <c r="O128" s="7"/>
      <c r="P128" s="15">
        <v>34.47</v>
      </c>
      <c r="Q128" s="7"/>
      <c r="R128" s="7">
        <f>17.235+17.235</f>
        <v>34.47</v>
      </c>
      <c r="S128" s="20" t="s">
        <v>568</v>
      </c>
      <c r="T128" s="20" t="s">
        <v>569</v>
      </c>
      <c r="U128" s="20" t="s">
        <v>37</v>
      </c>
    </row>
    <row r="129" ht="45" customHeight="1" spans="1:21">
      <c r="A129" s="7">
        <f>MAX($A$5:A128)+1</f>
        <v>98</v>
      </c>
      <c r="B129" s="7" t="s">
        <v>532</v>
      </c>
      <c r="C129" s="7" t="s">
        <v>570</v>
      </c>
      <c r="D129" s="7" t="s">
        <v>47</v>
      </c>
      <c r="E129" s="7" t="s">
        <v>48</v>
      </c>
      <c r="F129" s="7" t="s">
        <v>84</v>
      </c>
      <c r="G129" s="7" t="s">
        <v>30</v>
      </c>
      <c r="H129" s="7" t="s">
        <v>571</v>
      </c>
      <c r="I129" s="7" t="s">
        <v>572</v>
      </c>
      <c r="J129" s="7" t="s">
        <v>71</v>
      </c>
      <c r="K129" s="7" t="s">
        <v>72</v>
      </c>
      <c r="L129" s="10" t="s">
        <v>73</v>
      </c>
      <c r="M129" s="7">
        <f t="shared" si="2"/>
        <v>149.94</v>
      </c>
      <c r="N129" s="7"/>
      <c r="O129" s="7"/>
      <c r="P129" s="7"/>
      <c r="Q129" s="15">
        <v>149.94</v>
      </c>
      <c r="R129" s="7">
        <f>74.97+44.982</f>
        <v>119.952</v>
      </c>
      <c r="S129" s="20" t="s">
        <v>573</v>
      </c>
      <c r="T129" s="20" t="s">
        <v>574</v>
      </c>
      <c r="U129" s="20" t="s">
        <v>175</v>
      </c>
    </row>
    <row r="130" ht="45" customHeight="1" spans="1:21">
      <c r="A130" s="7">
        <f>MAX($A$5:A129)+1</f>
        <v>99</v>
      </c>
      <c r="B130" s="7" t="s">
        <v>532</v>
      </c>
      <c r="C130" s="7" t="s">
        <v>575</v>
      </c>
      <c r="D130" s="7" t="s">
        <v>39</v>
      </c>
      <c r="E130" s="7" t="s">
        <v>59</v>
      </c>
      <c r="F130" s="7" t="s">
        <v>84</v>
      </c>
      <c r="G130" s="7" t="s">
        <v>30</v>
      </c>
      <c r="H130" s="7" t="s">
        <v>576</v>
      </c>
      <c r="I130" s="7" t="s">
        <v>577</v>
      </c>
      <c r="J130" s="7" t="s">
        <v>71</v>
      </c>
      <c r="K130" s="7" t="s">
        <v>72</v>
      </c>
      <c r="L130" s="10" t="s">
        <v>73</v>
      </c>
      <c r="M130" s="7">
        <f t="shared" si="2"/>
        <v>21.69</v>
      </c>
      <c r="N130" s="7"/>
      <c r="O130" s="7"/>
      <c r="P130" s="7"/>
      <c r="Q130" s="15">
        <v>21.69</v>
      </c>
      <c r="R130" s="7">
        <f>10.845+10.845</f>
        <v>21.69</v>
      </c>
      <c r="S130" s="20" t="s">
        <v>578</v>
      </c>
      <c r="T130" s="20" t="s">
        <v>579</v>
      </c>
      <c r="U130" s="20" t="s">
        <v>37</v>
      </c>
    </row>
    <row r="131" ht="45" customHeight="1" spans="1:21">
      <c r="A131" s="7">
        <f>MAX($A$5:A130)+1</f>
        <v>100</v>
      </c>
      <c r="B131" s="7" t="s">
        <v>532</v>
      </c>
      <c r="C131" s="7" t="s">
        <v>580</v>
      </c>
      <c r="D131" s="7" t="s">
        <v>47</v>
      </c>
      <c r="E131" s="7" t="s">
        <v>66</v>
      </c>
      <c r="F131" s="7" t="s">
        <v>60</v>
      </c>
      <c r="G131" s="7" t="s">
        <v>30</v>
      </c>
      <c r="H131" s="7" t="s">
        <v>380</v>
      </c>
      <c r="I131" s="7" t="s">
        <v>581</v>
      </c>
      <c r="J131" s="7" t="s">
        <v>71</v>
      </c>
      <c r="K131" s="7" t="s">
        <v>72</v>
      </c>
      <c r="L131" s="10" t="s">
        <v>73</v>
      </c>
      <c r="M131" s="7">
        <f t="shared" si="2"/>
        <v>147.753</v>
      </c>
      <c r="N131" s="7"/>
      <c r="O131" s="7"/>
      <c r="P131" s="7"/>
      <c r="Q131" s="7">
        <v>147.753</v>
      </c>
      <c r="R131" s="7">
        <f>73.8765+44.3259</f>
        <v>118.2024</v>
      </c>
      <c r="S131" s="20" t="s">
        <v>582</v>
      </c>
      <c r="T131" s="20" t="s">
        <v>583</v>
      </c>
      <c r="U131" s="20" t="s">
        <v>175</v>
      </c>
    </row>
    <row r="132" ht="45" customHeight="1" spans="1:21">
      <c r="A132" s="7">
        <f>MAX($A$5:A131)+1</f>
        <v>101</v>
      </c>
      <c r="B132" s="7" t="s">
        <v>532</v>
      </c>
      <c r="C132" s="7" t="s">
        <v>584</v>
      </c>
      <c r="D132" s="7" t="s">
        <v>47</v>
      </c>
      <c r="E132" s="7" t="s">
        <v>66</v>
      </c>
      <c r="F132" s="7" t="s">
        <v>41</v>
      </c>
      <c r="G132" s="7" t="s">
        <v>30</v>
      </c>
      <c r="H132" s="7" t="s">
        <v>585</v>
      </c>
      <c r="I132" s="7" t="s">
        <v>586</v>
      </c>
      <c r="J132" s="7" t="s">
        <v>71</v>
      </c>
      <c r="K132" s="7" t="s">
        <v>72</v>
      </c>
      <c r="L132" s="10" t="s">
        <v>73</v>
      </c>
      <c r="M132" s="7">
        <f t="shared" si="2"/>
        <v>137.86</v>
      </c>
      <c r="N132" s="7"/>
      <c r="O132" s="7"/>
      <c r="P132" s="7"/>
      <c r="Q132" s="15">
        <v>137.86</v>
      </c>
      <c r="R132" s="7">
        <f>41.358+68.93</f>
        <v>110.288</v>
      </c>
      <c r="S132" s="20" t="s">
        <v>587</v>
      </c>
      <c r="T132" s="20" t="s">
        <v>588</v>
      </c>
      <c r="U132" s="20" t="s">
        <v>57</v>
      </c>
    </row>
    <row r="133" ht="45" customHeight="1" spans="1:21">
      <c r="A133" s="7">
        <f>MAX($A$5:A132)+1</f>
        <v>102</v>
      </c>
      <c r="B133" s="7" t="s">
        <v>532</v>
      </c>
      <c r="C133" s="7" t="s">
        <v>589</v>
      </c>
      <c r="D133" s="7" t="s">
        <v>47</v>
      </c>
      <c r="E133" s="7" t="s">
        <v>269</v>
      </c>
      <c r="F133" s="7" t="s">
        <v>224</v>
      </c>
      <c r="G133" s="7" t="s">
        <v>30</v>
      </c>
      <c r="H133" s="7" t="s">
        <v>590</v>
      </c>
      <c r="I133" s="7" t="s">
        <v>591</v>
      </c>
      <c r="J133" s="7" t="s">
        <v>71</v>
      </c>
      <c r="K133" s="7" t="s">
        <v>72</v>
      </c>
      <c r="L133" s="10" t="s">
        <v>73</v>
      </c>
      <c r="M133" s="7">
        <f t="shared" si="2"/>
        <v>193.56</v>
      </c>
      <c r="N133" s="7"/>
      <c r="O133" s="7"/>
      <c r="P133" s="7"/>
      <c r="Q133" s="15">
        <v>193.56</v>
      </c>
      <c r="R133" s="7">
        <f>38.712+154.848</f>
        <v>193.56</v>
      </c>
      <c r="S133" s="20" t="s">
        <v>592</v>
      </c>
      <c r="T133" s="20" t="s">
        <v>593</v>
      </c>
      <c r="U133" s="20" t="s">
        <v>57</v>
      </c>
    </row>
    <row r="134" ht="45" customHeight="1" spans="1:21">
      <c r="A134" s="7">
        <f>MAX($A$5:A133)+1</f>
        <v>103</v>
      </c>
      <c r="B134" s="7" t="s">
        <v>594</v>
      </c>
      <c r="C134" s="7" t="s">
        <v>595</v>
      </c>
      <c r="D134" s="7" t="s">
        <v>47</v>
      </c>
      <c r="E134" s="7" t="s">
        <v>66</v>
      </c>
      <c r="F134" s="7" t="s">
        <v>596</v>
      </c>
      <c r="G134" s="7" t="s">
        <v>596</v>
      </c>
      <c r="H134" s="7" t="s">
        <v>31</v>
      </c>
      <c r="I134" s="7" t="s">
        <v>597</v>
      </c>
      <c r="J134" s="7" t="s">
        <v>144</v>
      </c>
      <c r="K134" s="7" t="s">
        <v>598</v>
      </c>
      <c r="L134" s="10" t="s">
        <v>146</v>
      </c>
      <c r="M134" s="7">
        <f t="shared" ref="M134:M156" si="3">N134+O134+P134+Q134</f>
        <v>986</v>
      </c>
      <c r="N134" s="7"/>
      <c r="O134" s="7"/>
      <c r="P134" s="7">
        <v>986</v>
      </c>
      <c r="Q134" s="7"/>
      <c r="R134" s="7"/>
      <c r="S134" s="20" t="s">
        <v>599</v>
      </c>
      <c r="T134" s="20" t="s">
        <v>600</v>
      </c>
      <c r="U134" s="20" t="s">
        <v>57</v>
      </c>
    </row>
    <row r="135" ht="45" customHeight="1" spans="1:21">
      <c r="A135" s="7">
        <f>MAX($A$5:A134)+1</f>
        <v>104</v>
      </c>
      <c r="B135" s="7" t="s">
        <v>594</v>
      </c>
      <c r="C135" s="7" t="s">
        <v>601</v>
      </c>
      <c r="D135" s="7" t="s">
        <v>28</v>
      </c>
      <c r="E135" s="7" t="s">
        <v>29</v>
      </c>
      <c r="F135" s="7" t="s">
        <v>30</v>
      </c>
      <c r="G135" s="7" t="s">
        <v>30</v>
      </c>
      <c r="H135" s="7" t="s">
        <v>31</v>
      </c>
      <c r="I135" s="7" t="s">
        <v>602</v>
      </c>
      <c r="J135" s="7" t="s">
        <v>33</v>
      </c>
      <c r="K135" s="7" t="s">
        <v>34</v>
      </c>
      <c r="L135" s="10" t="s">
        <v>35</v>
      </c>
      <c r="M135" s="7">
        <f t="shared" si="3"/>
        <v>1.592996</v>
      </c>
      <c r="N135" s="7">
        <v>1.592996</v>
      </c>
      <c r="O135" s="7"/>
      <c r="P135" s="7"/>
      <c r="Q135" s="7"/>
      <c r="R135" s="7">
        <v>1.592996</v>
      </c>
      <c r="S135" s="20"/>
      <c r="T135" s="20" t="s">
        <v>603</v>
      </c>
      <c r="U135" s="20" t="s">
        <v>134</v>
      </c>
    </row>
    <row r="136" ht="45" customHeight="1" spans="1:21">
      <c r="A136" s="7"/>
      <c r="B136" s="7"/>
      <c r="C136" s="7" t="s">
        <v>604</v>
      </c>
      <c r="D136" s="7" t="s">
        <v>28</v>
      </c>
      <c r="E136" s="7" t="s">
        <v>29</v>
      </c>
      <c r="F136" s="7" t="s">
        <v>30</v>
      </c>
      <c r="G136" s="7" t="s">
        <v>30</v>
      </c>
      <c r="H136" s="7" t="s">
        <v>31</v>
      </c>
      <c r="I136" s="7" t="s">
        <v>602</v>
      </c>
      <c r="J136" s="7" t="s">
        <v>33</v>
      </c>
      <c r="K136" s="7" t="s">
        <v>522</v>
      </c>
      <c r="L136" s="10" t="s">
        <v>35</v>
      </c>
      <c r="M136" s="7">
        <f t="shared" si="3"/>
        <v>15.4804</v>
      </c>
      <c r="N136" s="7">
        <v>15.4804</v>
      </c>
      <c r="O136" s="7"/>
      <c r="P136" s="7"/>
      <c r="Q136" s="7"/>
      <c r="R136" s="7">
        <v>15.4804</v>
      </c>
      <c r="S136" s="20"/>
      <c r="T136" s="20" t="s">
        <v>603</v>
      </c>
      <c r="U136" s="20" t="s">
        <v>134</v>
      </c>
    </row>
    <row r="137" ht="45" customHeight="1" spans="1:21">
      <c r="A137" s="7"/>
      <c r="B137" s="7"/>
      <c r="C137" s="7" t="s">
        <v>605</v>
      </c>
      <c r="D137" s="7" t="s">
        <v>28</v>
      </c>
      <c r="E137" s="7" t="s">
        <v>29</v>
      </c>
      <c r="F137" s="7" t="s">
        <v>30</v>
      </c>
      <c r="G137" s="7" t="s">
        <v>30</v>
      </c>
      <c r="H137" s="7" t="s">
        <v>31</v>
      </c>
      <c r="I137" s="7" t="s">
        <v>602</v>
      </c>
      <c r="J137" s="7" t="s">
        <v>52</v>
      </c>
      <c r="K137" s="7" t="s">
        <v>53</v>
      </c>
      <c r="L137" s="10" t="s">
        <v>54</v>
      </c>
      <c r="M137" s="7">
        <f t="shared" si="3"/>
        <v>60.951778</v>
      </c>
      <c r="N137" s="7"/>
      <c r="O137" s="7">
        <v>60.951778</v>
      </c>
      <c r="P137" s="7"/>
      <c r="Q137" s="7"/>
      <c r="R137" s="7">
        <v>60.951778</v>
      </c>
      <c r="S137" s="20"/>
      <c r="T137" s="20" t="s">
        <v>603</v>
      </c>
      <c r="U137" s="20" t="s">
        <v>134</v>
      </c>
    </row>
    <row r="138" ht="45" customHeight="1" spans="1:21">
      <c r="A138" s="7"/>
      <c r="B138" s="7"/>
      <c r="C138" s="7" t="s">
        <v>606</v>
      </c>
      <c r="D138" s="7" t="s">
        <v>28</v>
      </c>
      <c r="E138" s="7" t="s">
        <v>29</v>
      </c>
      <c r="F138" s="7" t="s">
        <v>30</v>
      </c>
      <c r="G138" s="7" t="s">
        <v>30</v>
      </c>
      <c r="H138" s="7" t="s">
        <v>31</v>
      </c>
      <c r="I138" s="7" t="s">
        <v>602</v>
      </c>
      <c r="J138" s="7" t="s">
        <v>52</v>
      </c>
      <c r="K138" s="7" t="s">
        <v>522</v>
      </c>
      <c r="L138" s="10" t="s">
        <v>54</v>
      </c>
      <c r="M138" s="7">
        <f t="shared" si="3"/>
        <v>8.5128</v>
      </c>
      <c r="N138" s="7"/>
      <c r="O138" s="7">
        <v>8.5128</v>
      </c>
      <c r="P138" s="7"/>
      <c r="Q138" s="7"/>
      <c r="R138" s="7">
        <v>8.5128</v>
      </c>
      <c r="S138" s="20"/>
      <c r="T138" s="20" t="s">
        <v>603</v>
      </c>
      <c r="U138" s="20" t="s">
        <v>134</v>
      </c>
    </row>
    <row r="139" ht="45" customHeight="1" spans="1:21">
      <c r="A139" s="7"/>
      <c r="B139" s="7"/>
      <c r="C139" s="7" t="s">
        <v>607</v>
      </c>
      <c r="D139" s="7" t="s">
        <v>28</v>
      </c>
      <c r="E139" s="7" t="s">
        <v>29</v>
      </c>
      <c r="F139" s="7" t="s">
        <v>30</v>
      </c>
      <c r="G139" s="7" t="s">
        <v>30</v>
      </c>
      <c r="H139" s="7" t="s">
        <v>31</v>
      </c>
      <c r="I139" s="7" t="s">
        <v>602</v>
      </c>
      <c r="J139" s="7" t="s">
        <v>144</v>
      </c>
      <c r="K139" s="7" t="s">
        <v>399</v>
      </c>
      <c r="L139" s="10" t="s">
        <v>146</v>
      </c>
      <c r="M139" s="7">
        <f t="shared" si="3"/>
        <v>10.376066</v>
      </c>
      <c r="N139" s="7"/>
      <c r="O139" s="7"/>
      <c r="P139" s="7">
        <v>10.376066</v>
      </c>
      <c r="Q139" s="7"/>
      <c r="R139" s="7">
        <v>10.376066</v>
      </c>
      <c r="S139" s="20"/>
      <c r="T139" s="20" t="s">
        <v>603</v>
      </c>
      <c r="U139" s="20" t="s">
        <v>134</v>
      </c>
    </row>
    <row r="140" ht="45" customHeight="1" spans="1:21">
      <c r="A140" s="7"/>
      <c r="B140" s="7"/>
      <c r="C140" s="7" t="s">
        <v>608</v>
      </c>
      <c r="D140" s="7" t="s">
        <v>28</v>
      </c>
      <c r="E140" s="7" t="s">
        <v>29</v>
      </c>
      <c r="F140" s="7" t="s">
        <v>30</v>
      </c>
      <c r="G140" s="7" t="s">
        <v>30</v>
      </c>
      <c r="H140" s="7" t="s">
        <v>31</v>
      </c>
      <c r="I140" s="7" t="s">
        <v>602</v>
      </c>
      <c r="J140" s="7" t="s">
        <v>144</v>
      </c>
      <c r="K140" s="7" t="s">
        <v>145</v>
      </c>
      <c r="L140" s="10" t="s">
        <v>146</v>
      </c>
      <c r="M140" s="7">
        <f t="shared" si="3"/>
        <v>20.2567</v>
      </c>
      <c r="N140" s="7"/>
      <c r="O140" s="7"/>
      <c r="P140" s="7">
        <v>20.2567</v>
      </c>
      <c r="Q140" s="7"/>
      <c r="R140" s="7">
        <v>20.2567</v>
      </c>
      <c r="S140" s="20"/>
      <c r="T140" s="20" t="s">
        <v>603</v>
      </c>
      <c r="U140" s="20" t="s">
        <v>134</v>
      </c>
    </row>
    <row r="141" ht="45" customHeight="1" spans="1:21">
      <c r="A141" s="7"/>
      <c r="B141" s="7"/>
      <c r="C141" s="7" t="s">
        <v>609</v>
      </c>
      <c r="D141" s="7" t="s">
        <v>28</v>
      </c>
      <c r="E141" s="7" t="s">
        <v>29</v>
      </c>
      <c r="F141" s="7" t="s">
        <v>30</v>
      </c>
      <c r="G141" s="7" t="s">
        <v>30</v>
      </c>
      <c r="H141" s="7" t="s">
        <v>31</v>
      </c>
      <c r="I141" s="7" t="s">
        <v>602</v>
      </c>
      <c r="J141" s="7" t="s">
        <v>144</v>
      </c>
      <c r="K141" s="7" t="s">
        <v>598</v>
      </c>
      <c r="L141" s="10" t="s">
        <v>146</v>
      </c>
      <c r="M141" s="7">
        <f t="shared" si="3"/>
        <v>343.47926</v>
      </c>
      <c r="N141" s="7"/>
      <c r="O141" s="7"/>
      <c r="P141" s="7">
        <v>343.47926</v>
      </c>
      <c r="Q141" s="7"/>
      <c r="R141" s="7">
        <v>343.47926</v>
      </c>
      <c r="S141" s="20"/>
      <c r="T141" s="20" t="s">
        <v>603</v>
      </c>
      <c r="U141" s="20" t="s">
        <v>134</v>
      </c>
    </row>
    <row r="142" ht="45" customHeight="1" spans="1:21">
      <c r="A142" s="7">
        <f>MAX($A$5:A141)+1</f>
        <v>105</v>
      </c>
      <c r="B142" s="7" t="s">
        <v>594</v>
      </c>
      <c r="C142" s="7" t="s">
        <v>610</v>
      </c>
      <c r="D142" s="7" t="s">
        <v>47</v>
      </c>
      <c r="E142" s="7" t="s">
        <v>48</v>
      </c>
      <c r="F142" s="7" t="s">
        <v>163</v>
      </c>
      <c r="G142" s="7" t="s">
        <v>30</v>
      </c>
      <c r="H142" s="7" t="s">
        <v>611</v>
      </c>
      <c r="I142" s="7" t="s">
        <v>612</v>
      </c>
      <c r="J142" s="7" t="s">
        <v>71</v>
      </c>
      <c r="K142" s="7" t="s">
        <v>72</v>
      </c>
      <c r="L142" s="10" t="s">
        <v>73</v>
      </c>
      <c r="M142" s="7">
        <f t="shared" si="3"/>
        <v>224.9295</v>
      </c>
      <c r="N142" s="7"/>
      <c r="O142" s="7"/>
      <c r="P142" s="7"/>
      <c r="Q142" s="7">
        <v>224.9295</v>
      </c>
      <c r="R142" s="7"/>
      <c r="S142" s="20" t="s">
        <v>613</v>
      </c>
      <c r="T142" s="20" t="s">
        <v>614</v>
      </c>
      <c r="U142" s="20" t="s">
        <v>57</v>
      </c>
    </row>
    <row r="143" ht="45" customHeight="1" spans="1:21">
      <c r="A143" s="7">
        <f>MAX($A$5:A142)+1</f>
        <v>106</v>
      </c>
      <c r="B143" s="7" t="s">
        <v>594</v>
      </c>
      <c r="C143" s="7" t="s">
        <v>615</v>
      </c>
      <c r="D143" s="7" t="s">
        <v>47</v>
      </c>
      <c r="E143" s="7" t="s">
        <v>169</v>
      </c>
      <c r="F143" s="7" t="s">
        <v>211</v>
      </c>
      <c r="G143" s="7" t="s">
        <v>30</v>
      </c>
      <c r="H143" s="7" t="s">
        <v>616</v>
      </c>
      <c r="I143" s="7" t="s">
        <v>617</v>
      </c>
      <c r="J143" s="7" t="s">
        <v>33</v>
      </c>
      <c r="K143" s="7" t="s">
        <v>522</v>
      </c>
      <c r="L143" s="10" t="s">
        <v>35</v>
      </c>
      <c r="M143" s="7">
        <f t="shared" si="3"/>
        <v>33.43</v>
      </c>
      <c r="N143" s="15">
        <v>33.43</v>
      </c>
      <c r="O143" s="7"/>
      <c r="P143" s="7"/>
      <c r="Q143" s="7"/>
      <c r="R143" s="7">
        <f>16.715+16.715</f>
        <v>33.43</v>
      </c>
      <c r="S143" s="20" t="s">
        <v>618</v>
      </c>
      <c r="T143" s="20" t="s">
        <v>619</v>
      </c>
      <c r="U143" s="20" t="s">
        <v>57</v>
      </c>
    </row>
    <row r="144" ht="45" customHeight="1" spans="1:21">
      <c r="A144" s="7">
        <f>MAX($A$5:A143)+1</f>
        <v>107</v>
      </c>
      <c r="B144" s="7" t="s">
        <v>594</v>
      </c>
      <c r="C144" s="7" t="s">
        <v>620</v>
      </c>
      <c r="D144" s="7" t="s">
        <v>47</v>
      </c>
      <c r="E144" s="7" t="s">
        <v>169</v>
      </c>
      <c r="F144" s="7" t="s">
        <v>216</v>
      </c>
      <c r="G144" s="7" t="s">
        <v>30</v>
      </c>
      <c r="H144" s="7" t="s">
        <v>621</v>
      </c>
      <c r="I144" s="7" t="s">
        <v>622</v>
      </c>
      <c r="J144" s="7" t="s">
        <v>144</v>
      </c>
      <c r="K144" s="7" t="s">
        <v>598</v>
      </c>
      <c r="L144" s="10" t="s">
        <v>146</v>
      </c>
      <c r="M144" s="7">
        <f t="shared" si="3"/>
        <v>157.351898</v>
      </c>
      <c r="N144" s="7"/>
      <c r="O144" s="7"/>
      <c r="P144" s="7">
        <v>157.351898</v>
      </c>
      <c r="Q144" s="7"/>
      <c r="R144" s="7">
        <f>80.3+77.051898</f>
        <v>157.351898</v>
      </c>
      <c r="S144" s="20" t="s">
        <v>623</v>
      </c>
      <c r="T144" s="20" t="s">
        <v>624</v>
      </c>
      <c r="U144" s="20" t="s">
        <v>57</v>
      </c>
    </row>
    <row r="145" ht="45" customHeight="1" spans="1:21">
      <c r="A145" s="7">
        <f>MAX($A$5:A144)+1</f>
        <v>108</v>
      </c>
      <c r="B145" s="7" t="s">
        <v>594</v>
      </c>
      <c r="C145" s="7" t="s">
        <v>625</v>
      </c>
      <c r="D145" s="7" t="s">
        <v>39</v>
      </c>
      <c r="E145" s="7" t="s">
        <v>59</v>
      </c>
      <c r="F145" s="7" t="s">
        <v>109</v>
      </c>
      <c r="G145" s="7" t="s">
        <v>30</v>
      </c>
      <c r="H145" s="7" t="s">
        <v>626</v>
      </c>
      <c r="I145" s="7" t="s">
        <v>627</v>
      </c>
      <c r="J145" s="7" t="s">
        <v>144</v>
      </c>
      <c r="K145" s="7" t="s">
        <v>598</v>
      </c>
      <c r="L145" s="10" t="s">
        <v>146</v>
      </c>
      <c r="M145" s="7">
        <f t="shared" si="3"/>
        <v>134.3005</v>
      </c>
      <c r="N145" s="7"/>
      <c r="O145" s="7"/>
      <c r="P145" s="7">
        <v>134.3005</v>
      </c>
      <c r="Q145" s="7"/>
      <c r="R145" s="7">
        <f>67.15025+26.8601</f>
        <v>94.01035</v>
      </c>
      <c r="S145" s="20" t="s">
        <v>628</v>
      </c>
      <c r="T145" s="20" t="s">
        <v>629</v>
      </c>
      <c r="U145" s="20" t="s">
        <v>37</v>
      </c>
    </row>
    <row r="146" ht="45" customHeight="1" spans="1:21">
      <c r="A146" s="7">
        <f>MAX($A$5:A145)+1</f>
        <v>109</v>
      </c>
      <c r="B146" s="7" t="s">
        <v>594</v>
      </c>
      <c r="C146" s="7" t="s">
        <v>630</v>
      </c>
      <c r="D146" s="7" t="s">
        <v>39</v>
      </c>
      <c r="E146" s="7" t="s">
        <v>59</v>
      </c>
      <c r="F146" s="7" t="s">
        <v>177</v>
      </c>
      <c r="G146" s="7" t="s">
        <v>30</v>
      </c>
      <c r="H146" s="7" t="s">
        <v>631</v>
      </c>
      <c r="I146" s="7" t="s">
        <v>632</v>
      </c>
      <c r="J146" s="7" t="s">
        <v>144</v>
      </c>
      <c r="K146" s="7" t="s">
        <v>598</v>
      </c>
      <c r="L146" s="10" t="s">
        <v>146</v>
      </c>
      <c r="M146" s="7">
        <f t="shared" si="3"/>
        <v>80.562856</v>
      </c>
      <c r="N146" s="7"/>
      <c r="O146" s="7"/>
      <c r="P146" s="7">
        <v>80.562856</v>
      </c>
      <c r="Q146" s="7"/>
      <c r="R146" s="7">
        <f>41.701+25.0206</f>
        <v>66.7216</v>
      </c>
      <c r="S146" s="20" t="s">
        <v>633</v>
      </c>
      <c r="T146" s="20" t="s">
        <v>634</v>
      </c>
      <c r="U146" s="20" t="s">
        <v>37</v>
      </c>
    </row>
    <row r="147" ht="45" customHeight="1" spans="1:21">
      <c r="A147" s="7">
        <f>MAX($A$5:A146)+1</f>
        <v>110</v>
      </c>
      <c r="B147" s="7" t="s">
        <v>594</v>
      </c>
      <c r="C147" s="7" t="s">
        <v>635</v>
      </c>
      <c r="D147" s="7" t="s">
        <v>47</v>
      </c>
      <c r="E147" s="7" t="s">
        <v>66</v>
      </c>
      <c r="F147" s="7" t="s">
        <v>636</v>
      </c>
      <c r="G147" s="7" t="s">
        <v>636</v>
      </c>
      <c r="H147" s="7" t="s">
        <v>637</v>
      </c>
      <c r="I147" s="7" t="s">
        <v>638</v>
      </c>
      <c r="J147" s="7" t="s">
        <v>33</v>
      </c>
      <c r="K147" s="7" t="s">
        <v>639</v>
      </c>
      <c r="L147" s="10" t="s">
        <v>35</v>
      </c>
      <c r="M147" s="7">
        <f t="shared" si="3"/>
        <v>59</v>
      </c>
      <c r="N147" s="7">
        <v>59</v>
      </c>
      <c r="O147" s="7"/>
      <c r="P147" s="7"/>
      <c r="Q147" s="7"/>
      <c r="R147" s="7">
        <f>16.753526+31.442274</f>
        <v>48.1958</v>
      </c>
      <c r="S147" s="20" t="s">
        <v>640</v>
      </c>
      <c r="T147" s="20" t="s">
        <v>641</v>
      </c>
      <c r="U147" s="20" t="s">
        <v>175</v>
      </c>
    </row>
    <row r="148" ht="45" customHeight="1" spans="1:21">
      <c r="A148" s="7"/>
      <c r="B148" s="7"/>
      <c r="C148" s="7" t="s">
        <v>642</v>
      </c>
      <c r="D148" s="7" t="s">
        <v>47</v>
      </c>
      <c r="E148" s="7" t="s">
        <v>66</v>
      </c>
      <c r="F148" s="7" t="s">
        <v>636</v>
      </c>
      <c r="G148" s="7" t="s">
        <v>636</v>
      </c>
      <c r="H148" s="7" t="s">
        <v>637</v>
      </c>
      <c r="I148" s="7" t="s">
        <v>638</v>
      </c>
      <c r="J148" s="7" t="s">
        <v>52</v>
      </c>
      <c r="K148" s="7" t="s">
        <v>53</v>
      </c>
      <c r="L148" s="10" t="s">
        <v>54</v>
      </c>
      <c r="M148" s="7">
        <f t="shared" si="3"/>
        <v>37.3916</v>
      </c>
      <c r="N148" s="7"/>
      <c r="O148" s="7">
        <v>37.3916</v>
      </c>
      <c r="P148" s="7"/>
      <c r="Q148" s="7"/>
      <c r="R148" s="7">
        <f>28.91748</f>
        <v>28.91748</v>
      </c>
      <c r="S148" s="20" t="s">
        <v>640</v>
      </c>
      <c r="T148" s="20" t="s">
        <v>641</v>
      </c>
      <c r="U148" s="20" t="s">
        <v>175</v>
      </c>
    </row>
    <row r="149" ht="45" customHeight="1" spans="1:21">
      <c r="A149" s="7">
        <f>MAX($A$5:A148)+1</f>
        <v>111</v>
      </c>
      <c r="B149" s="7" t="s">
        <v>594</v>
      </c>
      <c r="C149" s="7" t="s">
        <v>643</v>
      </c>
      <c r="D149" s="7" t="s">
        <v>47</v>
      </c>
      <c r="E149" s="7" t="s">
        <v>269</v>
      </c>
      <c r="F149" s="7" t="s">
        <v>49</v>
      </c>
      <c r="G149" s="7" t="s">
        <v>30</v>
      </c>
      <c r="H149" s="7" t="s">
        <v>644</v>
      </c>
      <c r="I149" s="7" t="s">
        <v>645</v>
      </c>
      <c r="J149" s="7" t="s">
        <v>33</v>
      </c>
      <c r="K149" s="7" t="s">
        <v>34</v>
      </c>
      <c r="L149" s="10" t="s">
        <v>35</v>
      </c>
      <c r="M149" s="7">
        <f t="shared" si="3"/>
        <v>212.05</v>
      </c>
      <c r="N149" s="7">
        <v>212.05</v>
      </c>
      <c r="O149" s="7"/>
      <c r="P149" s="7"/>
      <c r="Q149" s="7"/>
      <c r="R149" s="7">
        <f>106.025+42.21</f>
        <v>148.235</v>
      </c>
      <c r="S149" s="20" t="s">
        <v>646</v>
      </c>
      <c r="T149" s="20" t="s">
        <v>647</v>
      </c>
      <c r="U149" s="20" t="s">
        <v>57</v>
      </c>
    </row>
    <row r="150" ht="45" customHeight="1" spans="1:21">
      <c r="A150" s="7">
        <f>MAX($A$5:A149)+1</f>
        <v>112</v>
      </c>
      <c r="B150" s="7" t="s">
        <v>594</v>
      </c>
      <c r="C150" s="7" t="s">
        <v>648</v>
      </c>
      <c r="D150" s="7" t="s">
        <v>39</v>
      </c>
      <c r="E150" s="7" t="s">
        <v>59</v>
      </c>
      <c r="F150" s="7" t="s">
        <v>67</v>
      </c>
      <c r="G150" s="7" t="s">
        <v>30</v>
      </c>
      <c r="H150" s="7" t="s">
        <v>649</v>
      </c>
      <c r="I150" s="7" t="s">
        <v>650</v>
      </c>
      <c r="J150" s="7" t="s">
        <v>144</v>
      </c>
      <c r="K150" s="7" t="s">
        <v>598</v>
      </c>
      <c r="L150" s="10" t="s">
        <v>146</v>
      </c>
      <c r="M150" s="7">
        <f t="shared" si="3"/>
        <v>185.2</v>
      </c>
      <c r="N150" s="7"/>
      <c r="O150" s="7"/>
      <c r="P150" s="7">
        <v>185.2</v>
      </c>
      <c r="Q150" s="7"/>
      <c r="R150" s="7">
        <f>92.6</f>
        <v>92.6</v>
      </c>
      <c r="S150" s="20" t="s">
        <v>651</v>
      </c>
      <c r="T150" s="20" t="s">
        <v>652</v>
      </c>
      <c r="U150" s="20" t="s">
        <v>37</v>
      </c>
    </row>
    <row r="151" ht="45" customHeight="1" spans="1:21">
      <c r="A151" s="7">
        <f>MAX($A$5:A150)+1</f>
        <v>113</v>
      </c>
      <c r="B151" s="7" t="s">
        <v>594</v>
      </c>
      <c r="C151" s="7" t="s">
        <v>653</v>
      </c>
      <c r="D151" s="7" t="s">
        <v>39</v>
      </c>
      <c r="E151" s="7" t="s">
        <v>40</v>
      </c>
      <c r="F151" s="7" t="s">
        <v>67</v>
      </c>
      <c r="G151" s="7" t="s">
        <v>30</v>
      </c>
      <c r="H151" s="7" t="s">
        <v>654</v>
      </c>
      <c r="I151" s="7" t="s">
        <v>655</v>
      </c>
      <c r="J151" s="7" t="s">
        <v>33</v>
      </c>
      <c r="K151" s="7" t="s">
        <v>34</v>
      </c>
      <c r="L151" s="10" t="s">
        <v>35</v>
      </c>
      <c r="M151" s="7">
        <f t="shared" si="3"/>
        <v>36.472743</v>
      </c>
      <c r="N151" s="7">
        <v>36.472743</v>
      </c>
      <c r="O151" s="7"/>
      <c r="P151" s="7"/>
      <c r="Q151" s="7"/>
      <c r="R151" s="7">
        <f>18.465+18.007743</f>
        <v>36.472743</v>
      </c>
      <c r="S151" s="20" t="s">
        <v>656</v>
      </c>
      <c r="T151" s="20" t="s">
        <v>657</v>
      </c>
      <c r="U151" s="20" t="s">
        <v>37</v>
      </c>
    </row>
    <row r="152" ht="45" customHeight="1" spans="1:21">
      <c r="A152" s="7">
        <f>MAX($A$5:A151)+1</f>
        <v>114</v>
      </c>
      <c r="B152" s="7" t="s">
        <v>594</v>
      </c>
      <c r="C152" s="7" t="s">
        <v>658</v>
      </c>
      <c r="D152" s="7" t="s">
        <v>47</v>
      </c>
      <c r="E152" s="7" t="s">
        <v>66</v>
      </c>
      <c r="F152" s="7" t="s">
        <v>67</v>
      </c>
      <c r="G152" s="7" t="s">
        <v>30</v>
      </c>
      <c r="H152" s="7" t="s">
        <v>659</v>
      </c>
      <c r="I152" s="7" t="s">
        <v>660</v>
      </c>
      <c r="J152" s="7" t="s">
        <v>144</v>
      </c>
      <c r="K152" s="7" t="s">
        <v>598</v>
      </c>
      <c r="L152" s="10" t="s">
        <v>146</v>
      </c>
      <c r="M152" s="7">
        <f t="shared" si="3"/>
        <v>93.899</v>
      </c>
      <c r="N152" s="7"/>
      <c r="O152" s="7"/>
      <c r="P152" s="7">
        <v>93.899</v>
      </c>
      <c r="Q152" s="7"/>
      <c r="R152" s="7">
        <f>46.95</f>
        <v>46.95</v>
      </c>
      <c r="S152" s="20" t="s">
        <v>661</v>
      </c>
      <c r="T152" s="20" t="s">
        <v>662</v>
      </c>
      <c r="U152" s="20" t="s">
        <v>57</v>
      </c>
    </row>
    <row r="153" ht="45" customHeight="1" spans="1:21">
      <c r="A153" s="7">
        <f>MAX($A$5:A152)+1</f>
        <v>115</v>
      </c>
      <c r="B153" s="7" t="s">
        <v>663</v>
      </c>
      <c r="C153" s="7" t="s">
        <v>664</v>
      </c>
      <c r="D153" s="7" t="s">
        <v>39</v>
      </c>
      <c r="E153" s="7" t="s">
        <v>59</v>
      </c>
      <c r="F153" s="7" t="s">
        <v>177</v>
      </c>
      <c r="G153" s="7" t="s">
        <v>30</v>
      </c>
      <c r="H153" s="7" t="s">
        <v>665</v>
      </c>
      <c r="I153" s="7" t="s">
        <v>666</v>
      </c>
      <c r="J153" s="7" t="s">
        <v>144</v>
      </c>
      <c r="K153" s="7" t="s">
        <v>598</v>
      </c>
      <c r="L153" s="10" t="s">
        <v>146</v>
      </c>
      <c r="M153" s="7">
        <f t="shared" si="3"/>
        <v>136.5</v>
      </c>
      <c r="N153" s="7"/>
      <c r="O153" s="7"/>
      <c r="P153" s="21">
        <v>136.5</v>
      </c>
      <c r="Q153" s="7"/>
      <c r="R153" s="7">
        <f>68.25+27.3</f>
        <v>95.55</v>
      </c>
      <c r="S153" s="20" t="s">
        <v>667</v>
      </c>
      <c r="T153" s="20" t="s">
        <v>668</v>
      </c>
      <c r="U153" s="20" t="s">
        <v>37</v>
      </c>
    </row>
    <row r="154" ht="45" customHeight="1" spans="1:21">
      <c r="A154" s="7">
        <f>MAX($A$5:A153)+1</f>
        <v>116</v>
      </c>
      <c r="B154" s="7" t="s">
        <v>663</v>
      </c>
      <c r="C154" s="7" t="s">
        <v>669</v>
      </c>
      <c r="D154" s="7" t="s">
        <v>47</v>
      </c>
      <c r="E154" s="7" t="s">
        <v>269</v>
      </c>
      <c r="F154" s="7" t="s">
        <v>211</v>
      </c>
      <c r="G154" s="7" t="s">
        <v>30</v>
      </c>
      <c r="H154" s="7" t="s">
        <v>670</v>
      </c>
      <c r="I154" s="7" t="s">
        <v>671</v>
      </c>
      <c r="J154" s="7" t="s">
        <v>144</v>
      </c>
      <c r="K154" s="7" t="s">
        <v>598</v>
      </c>
      <c r="L154" s="10" t="s">
        <v>146</v>
      </c>
      <c r="M154" s="7">
        <f t="shared" si="3"/>
        <v>179.7864</v>
      </c>
      <c r="N154" s="7"/>
      <c r="O154" s="7"/>
      <c r="P154" s="21">
        <v>179.7864</v>
      </c>
      <c r="Q154" s="7"/>
      <c r="R154" s="7">
        <f>89.8932</f>
        <v>89.8932</v>
      </c>
      <c r="S154" s="20" t="s">
        <v>672</v>
      </c>
      <c r="T154" s="20" t="s">
        <v>673</v>
      </c>
      <c r="U154" s="20" t="s">
        <v>57</v>
      </c>
    </row>
    <row r="155" ht="45" customHeight="1" spans="1:21">
      <c r="A155" s="7">
        <f>MAX($A$5:A154)+1</f>
        <v>117</v>
      </c>
      <c r="B155" s="7" t="s">
        <v>663</v>
      </c>
      <c r="C155" s="7" t="s">
        <v>674</v>
      </c>
      <c r="D155" s="7" t="s">
        <v>47</v>
      </c>
      <c r="E155" s="7" t="s">
        <v>269</v>
      </c>
      <c r="F155" s="7" t="s">
        <v>211</v>
      </c>
      <c r="G155" s="7" t="s">
        <v>30</v>
      </c>
      <c r="H155" s="7" t="s">
        <v>670</v>
      </c>
      <c r="I155" s="7" t="s">
        <v>675</v>
      </c>
      <c r="J155" s="7" t="s">
        <v>33</v>
      </c>
      <c r="K155" s="7" t="s">
        <v>34</v>
      </c>
      <c r="L155" s="10" t="s">
        <v>35</v>
      </c>
      <c r="M155" s="7">
        <f t="shared" si="3"/>
        <v>28.3136</v>
      </c>
      <c r="N155" s="21">
        <v>28.3136</v>
      </c>
      <c r="O155" s="7"/>
      <c r="P155" s="7"/>
      <c r="Q155" s="7"/>
      <c r="R155" s="7">
        <f>14.1568+5.6627</f>
        <v>19.8195</v>
      </c>
      <c r="S155" s="20" t="s">
        <v>672</v>
      </c>
      <c r="T155" s="20" t="s">
        <v>673</v>
      </c>
      <c r="U155" s="20" t="s">
        <v>57</v>
      </c>
    </row>
    <row r="156" ht="45" customHeight="1" spans="1:21">
      <c r="A156" s="7">
        <f>MAX($A$5:A155)+1</f>
        <v>118</v>
      </c>
      <c r="B156" s="7" t="s">
        <v>663</v>
      </c>
      <c r="C156" s="7" t="s">
        <v>676</v>
      </c>
      <c r="D156" s="7" t="s">
        <v>47</v>
      </c>
      <c r="E156" s="7" t="s">
        <v>269</v>
      </c>
      <c r="F156" s="7" t="s">
        <v>163</v>
      </c>
      <c r="G156" s="7" t="s">
        <v>30</v>
      </c>
      <c r="H156" s="7" t="s">
        <v>425</v>
      </c>
      <c r="I156" s="7" t="s">
        <v>677</v>
      </c>
      <c r="J156" s="7" t="s">
        <v>71</v>
      </c>
      <c r="K156" s="7" t="s">
        <v>72</v>
      </c>
      <c r="L156" s="10" t="s">
        <v>73</v>
      </c>
      <c r="M156" s="7">
        <f t="shared" si="3"/>
        <v>156.531</v>
      </c>
      <c r="N156" s="7"/>
      <c r="O156" s="22"/>
      <c r="P156" s="7"/>
      <c r="Q156" s="15">
        <v>156.531</v>
      </c>
      <c r="R156" s="7"/>
      <c r="S156" s="20" t="s">
        <v>427</v>
      </c>
      <c r="T156" s="20" t="s">
        <v>428</v>
      </c>
      <c r="U156" s="20" t="s">
        <v>175</v>
      </c>
    </row>
    <row r="157" ht="45" customHeight="1" spans="1:21">
      <c r="A157" s="7">
        <f>MAX($A$5:A156)+1</f>
        <v>119</v>
      </c>
      <c r="B157" s="7" t="s">
        <v>663</v>
      </c>
      <c r="C157" s="7" t="s">
        <v>678</v>
      </c>
      <c r="D157" s="7" t="s">
        <v>47</v>
      </c>
      <c r="E157" s="7" t="s">
        <v>169</v>
      </c>
      <c r="F157" s="7" t="s">
        <v>67</v>
      </c>
      <c r="G157" s="7" t="s">
        <v>30</v>
      </c>
      <c r="H157" s="7" t="s">
        <v>679</v>
      </c>
      <c r="I157" s="7" t="s">
        <v>680</v>
      </c>
      <c r="J157" s="7" t="s">
        <v>52</v>
      </c>
      <c r="K157" s="7" t="s">
        <v>522</v>
      </c>
      <c r="L157" s="10" t="s">
        <v>54</v>
      </c>
      <c r="M157" s="7">
        <f t="shared" ref="M157:M207" si="4">N157+O157+P157+Q157</f>
        <v>117.75</v>
      </c>
      <c r="N157" s="7"/>
      <c r="O157" s="21">
        <v>117.75</v>
      </c>
      <c r="P157" s="7"/>
      <c r="Q157" s="7"/>
      <c r="R157" s="7">
        <f>58.875</f>
        <v>58.875</v>
      </c>
      <c r="S157" s="20" t="s">
        <v>681</v>
      </c>
      <c r="T157" s="20" t="s">
        <v>682</v>
      </c>
      <c r="U157" s="20" t="s">
        <v>175</v>
      </c>
    </row>
    <row r="158" ht="45" customHeight="1" spans="1:21">
      <c r="A158" s="7">
        <f>MAX($A$5:A157)+1</f>
        <v>120</v>
      </c>
      <c r="B158" s="7" t="s">
        <v>663</v>
      </c>
      <c r="C158" s="7" t="s">
        <v>683</v>
      </c>
      <c r="D158" s="7" t="s">
        <v>47</v>
      </c>
      <c r="E158" s="7" t="s">
        <v>48</v>
      </c>
      <c r="F158" s="7" t="s">
        <v>67</v>
      </c>
      <c r="G158" s="7" t="s">
        <v>30</v>
      </c>
      <c r="H158" s="7" t="s">
        <v>684</v>
      </c>
      <c r="I158" s="7" t="s">
        <v>685</v>
      </c>
      <c r="J158" s="7" t="s">
        <v>71</v>
      </c>
      <c r="K158" s="7" t="s">
        <v>72</v>
      </c>
      <c r="L158" s="10" t="s">
        <v>73</v>
      </c>
      <c r="M158" s="7">
        <f t="shared" si="4"/>
        <v>228.5</v>
      </c>
      <c r="N158" s="7"/>
      <c r="O158" s="22"/>
      <c r="P158" s="7"/>
      <c r="Q158" s="21">
        <v>228.5</v>
      </c>
      <c r="R158" s="7">
        <f>114.25</f>
        <v>114.25</v>
      </c>
      <c r="S158" s="20" t="s">
        <v>686</v>
      </c>
      <c r="T158" s="20" t="s">
        <v>687</v>
      </c>
      <c r="U158" s="20" t="s">
        <v>175</v>
      </c>
    </row>
    <row r="159" ht="45" customHeight="1" spans="1:21">
      <c r="A159" s="7">
        <f>MAX($A$5:A158)+1</f>
        <v>121</v>
      </c>
      <c r="B159" s="7" t="s">
        <v>663</v>
      </c>
      <c r="C159" s="7" t="s">
        <v>688</v>
      </c>
      <c r="D159" s="7" t="s">
        <v>47</v>
      </c>
      <c r="E159" s="7" t="s">
        <v>48</v>
      </c>
      <c r="F159" s="7" t="s">
        <v>200</v>
      </c>
      <c r="G159" s="7" t="s">
        <v>30</v>
      </c>
      <c r="H159" s="7" t="s">
        <v>689</v>
      </c>
      <c r="I159" s="7" t="s">
        <v>690</v>
      </c>
      <c r="J159" s="7" t="s">
        <v>71</v>
      </c>
      <c r="K159" s="7" t="s">
        <v>72</v>
      </c>
      <c r="L159" s="10" t="s">
        <v>73</v>
      </c>
      <c r="M159" s="7">
        <f t="shared" si="4"/>
        <v>275.75</v>
      </c>
      <c r="N159" s="7"/>
      <c r="O159" s="22"/>
      <c r="P159" s="7"/>
      <c r="Q159" s="21">
        <v>275.75</v>
      </c>
      <c r="R159" s="7">
        <f>137.875+55.15</f>
        <v>193.025</v>
      </c>
      <c r="S159" s="20" t="s">
        <v>691</v>
      </c>
      <c r="T159" s="20" t="s">
        <v>692</v>
      </c>
      <c r="U159" s="20" t="s">
        <v>175</v>
      </c>
    </row>
    <row r="160" ht="45" customHeight="1" spans="1:21">
      <c r="A160" s="7">
        <f>MAX($A$5:A159)+1</f>
        <v>122</v>
      </c>
      <c r="B160" s="7" t="s">
        <v>663</v>
      </c>
      <c r="C160" s="7" t="s">
        <v>693</v>
      </c>
      <c r="D160" s="7" t="s">
        <v>47</v>
      </c>
      <c r="E160" s="7" t="s">
        <v>66</v>
      </c>
      <c r="F160" s="7" t="s">
        <v>49</v>
      </c>
      <c r="G160" s="7" t="s">
        <v>30</v>
      </c>
      <c r="H160" s="7" t="s">
        <v>644</v>
      </c>
      <c r="I160" s="7" t="s">
        <v>694</v>
      </c>
      <c r="J160" s="7" t="s">
        <v>33</v>
      </c>
      <c r="K160" s="7" t="s">
        <v>522</v>
      </c>
      <c r="L160" s="10" t="s">
        <v>35</v>
      </c>
      <c r="M160" s="7">
        <f t="shared" si="4"/>
        <v>115.85</v>
      </c>
      <c r="N160" s="21">
        <v>115.85</v>
      </c>
      <c r="O160" s="7"/>
      <c r="P160" s="7"/>
      <c r="Q160" s="7"/>
      <c r="R160" s="7">
        <f>57.925+23.17</f>
        <v>81.095</v>
      </c>
      <c r="S160" s="20" t="s">
        <v>646</v>
      </c>
      <c r="T160" s="20" t="s">
        <v>647</v>
      </c>
      <c r="U160" s="20" t="s">
        <v>57</v>
      </c>
    </row>
    <row r="161" ht="45" customHeight="1" spans="1:21">
      <c r="A161" s="7">
        <f>MAX($A$5:A160)+1</f>
        <v>123</v>
      </c>
      <c r="B161" s="7" t="s">
        <v>663</v>
      </c>
      <c r="C161" s="7" t="s">
        <v>695</v>
      </c>
      <c r="D161" s="7" t="s">
        <v>47</v>
      </c>
      <c r="E161" s="7" t="s">
        <v>66</v>
      </c>
      <c r="F161" s="7" t="s">
        <v>60</v>
      </c>
      <c r="G161" s="7" t="s">
        <v>30</v>
      </c>
      <c r="H161" s="7" t="s">
        <v>696</v>
      </c>
      <c r="I161" s="7" t="s">
        <v>697</v>
      </c>
      <c r="J161" s="7" t="s">
        <v>33</v>
      </c>
      <c r="K161" s="7" t="s">
        <v>522</v>
      </c>
      <c r="L161" s="10" t="s">
        <v>35</v>
      </c>
      <c r="M161" s="7">
        <f t="shared" si="4"/>
        <v>36.87</v>
      </c>
      <c r="N161" s="21">
        <v>36.87</v>
      </c>
      <c r="O161" s="7"/>
      <c r="P161" s="7"/>
      <c r="Q161" s="7"/>
      <c r="R161" s="7">
        <f>11.061</f>
        <v>11.061</v>
      </c>
      <c r="S161" s="20" t="s">
        <v>698</v>
      </c>
      <c r="T161" s="20" t="s">
        <v>699</v>
      </c>
      <c r="U161" s="20" t="s">
        <v>57</v>
      </c>
    </row>
    <row r="162" ht="45" customHeight="1" spans="1:21">
      <c r="A162" s="7">
        <f>MAX($A$5:A161)+1</f>
        <v>124</v>
      </c>
      <c r="B162" s="7" t="s">
        <v>663</v>
      </c>
      <c r="C162" s="7" t="s">
        <v>700</v>
      </c>
      <c r="D162" s="7" t="s">
        <v>47</v>
      </c>
      <c r="E162" s="7" t="s">
        <v>66</v>
      </c>
      <c r="F162" s="7" t="s">
        <v>60</v>
      </c>
      <c r="G162" s="7" t="s">
        <v>30</v>
      </c>
      <c r="H162" s="7" t="s">
        <v>701</v>
      </c>
      <c r="I162" s="7" t="s">
        <v>702</v>
      </c>
      <c r="J162" s="7" t="s">
        <v>33</v>
      </c>
      <c r="K162" s="7" t="s">
        <v>522</v>
      </c>
      <c r="L162" s="10" t="s">
        <v>35</v>
      </c>
      <c r="M162" s="7">
        <f t="shared" si="4"/>
        <v>49.13</v>
      </c>
      <c r="N162" s="21">
        <v>49.13</v>
      </c>
      <c r="O162" s="7"/>
      <c r="P162" s="7"/>
      <c r="Q162" s="7"/>
      <c r="R162" s="7">
        <f>43</f>
        <v>43</v>
      </c>
      <c r="S162" s="20" t="s">
        <v>703</v>
      </c>
      <c r="T162" s="20" t="s">
        <v>704</v>
      </c>
      <c r="U162" s="20" t="s">
        <v>57</v>
      </c>
    </row>
    <row r="163" ht="45" customHeight="1" spans="1:21">
      <c r="A163" s="7">
        <f>MAX($A$5:A162)+1</f>
        <v>125</v>
      </c>
      <c r="B163" s="7" t="s">
        <v>663</v>
      </c>
      <c r="C163" s="7" t="s">
        <v>705</v>
      </c>
      <c r="D163" s="7" t="s">
        <v>47</v>
      </c>
      <c r="E163" s="7" t="s">
        <v>169</v>
      </c>
      <c r="F163" s="7" t="s">
        <v>109</v>
      </c>
      <c r="G163" s="7" t="s">
        <v>30</v>
      </c>
      <c r="H163" s="7" t="s">
        <v>534</v>
      </c>
      <c r="I163" s="7" t="s">
        <v>706</v>
      </c>
      <c r="J163" s="7" t="s">
        <v>33</v>
      </c>
      <c r="K163" s="7" t="s">
        <v>34</v>
      </c>
      <c r="L163" s="10" t="s">
        <v>35</v>
      </c>
      <c r="M163" s="7">
        <f t="shared" si="4"/>
        <v>334.8802</v>
      </c>
      <c r="N163" s="21">
        <v>334.8802</v>
      </c>
      <c r="O163" s="7"/>
      <c r="P163" s="7"/>
      <c r="Q163" s="7"/>
      <c r="R163" s="7">
        <f>192.94416+46.85</f>
        <v>239.79416</v>
      </c>
      <c r="S163" s="20" t="s">
        <v>707</v>
      </c>
      <c r="T163" s="20" t="s">
        <v>708</v>
      </c>
      <c r="U163" s="20" t="s">
        <v>57</v>
      </c>
    </row>
    <row r="164" ht="45" customHeight="1" spans="1:21">
      <c r="A164" s="7">
        <f>MAX($A$5:A163)+1</f>
        <v>126</v>
      </c>
      <c r="B164" s="7" t="s">
        <v>663</v>
      </c>
      <c r="C164" s="7" t="s">
        <v>709</v>
      </c>
      <c r="D164" s="7" t="s">
        <v>39</v>
      </c>
      <c r="E164" s="7" t="s">
        <v>59</v>
      </c>
      <c r="F164" s="7" t="s">
        <v>187</v>
      </c>
      <c r="G164" s="7" t="s">
        <v>30</v>
      </c>
      <c r="H164" s="7" t="s">
        <v>710</v>
      </c>
      <c r="I164" s="7" t="s">
        <v>711</v>
      </c>
      <c r="J164" s="7" t="s">
        <v>33</v>
      </c>
      <c r="K164" s="7" t="s">
        <v>522</v>
      </c>
      <c r="L164" s="10" t="s">
        <v>35</v>
      </c>
      <c r="M164" s="7">
        <f t="shared" si="4"/>
        <v>32.4377</v>
      </c>
      <c r="N164" s="21">
        <v>32.4377</v>
      </c>
      <c r="O164" s="12"/>
      <c r="P164" s="12"/>
      <c r="Q164" s="12"/>
      <c r="R164" s="12">
        <f>16.355+16.0827</f>
        <v>32.4377</v>
      </c>
      <c r="S164" s="20" t="s">
        <v>712</v>
      </c>
      <c r="T164" s="20" t="s">
        <v>713</v>
      </c>
      <c r="U164" s="20" t="s">
        <v>37</v>
      </c>
    </row>
    <row r="165" ht="45" customHeight="1" spans="1:21">
      <c r="A165" s="7">
        <f>MAX($A$5:A164)+1</f>
        <v>127</v>
      </c>
      <c r="B165" s="7" t="s">
        <v>663</v>
      </c>
      <c r="C165" s="7" t="s">
        <v>714</v>
      </c>
      <c r="D165" s="7" t="s">
        <v>39</v>
      </c>
      <c r="E165" s="7" t="s">
        <v>83</v>
      </c>
      <c r="F165" s="7" t="s">
        <v>84</v>
      </c>
      <c r="G165" s="7" t="s">
        <v>30</v>
      </c>
      <c r="H165" s="7" t="s">
        <v>715</v>
      </c>
      <c r="I165" s="7" t="s">
        <v>716</v>
      </c>
      <c r="J165" s="7" t="s">
        <v>33</v>
      </c>
      <c r="K165" s="7" t="s">
        <v>522</v>
      </c>
      <c r="L165" s="10" t="s">
        <v>35</v>
      </c>
      <c r="M165" s="7">
        <f t="shared" si="4"/>
        <v>19.519807</v>
      </c>
      <c r="N165" s="21">
        <v>19.519807</v>
      </c>
      <c r="O165" s="12"/>
      <c r="P165" s="12"/>
      <c r="Q165" s="12"/>
      <c r="R165" s="12">
        <f>19.519807</f>
        <v>19.519807</v>
      </c>
      <c r="S165" s="20" t="s">
        <v>717</v>
      </c>
      <c r="T165" s="20" t="s">
        <v>718</v>
      </c>
      <c r="U165" s="20" t="s">
        <v>37</v>
      </c>
    </row>
    <row r="166" ht="45" customHeight="1" spans="1:21">
      <c r="A166" s="7">
        <f>MAX($A$5:A165)+1</f>
        <v>128</v>
      </c>
      <c r="B166" s="7" t="s">
        <v>663</v>
      </c>
      <c r="C166" s="7" t="s">
        <v>719</v>
      </c>
      <c r="D166" s="7" t="s">
        <v>47</v>
      </c>
      <c r="E166" s="7" t="s">
        <v>169</v>
      </c>
      <c r="F166" s="7" t="s">
        <v>170</v>
      </c>
      <c r="G166" s="7" t="s">
        <v>30</v>
      </c>
      <c r="H166" s="7" t="s">
        <v>171</v>
      </c>
      <c r="I166" s="7" t="s">
        <v>720</v>
      </c>
      <c r="J166" s="7" t="s">
        <v>71</v>
      </c>
      <c r="K166" s="7" t="s">
        <v>72</v>
      </c>
      <c r="L166" s="10" t="s">
        <v>73</v>
      </c>
      <c r="M166" s="7">
        <f t="shared" si="4"/>
        <v>374.5</v>
      </c>
      <c r="N166" s="22"/>
      <c r="O166" s="12"/>
      <c r="P166" s="12"/>
      <c r="Q166" s="21">
        <v>374.5</v>
      </c>
      <c r="R166" s="12">
        <f>187.25</f>
        <v>187.25</v>
      </c>
      <c r="S166" s="20" t="s">
        <v>173</v>
      </c>
      <c r="T166" s="20" t="s">
        <v>559</v>
      </c>
      <c r="U166" s="20" t="s">
        <v>57</v>
      </c>
    </row>
    <row r="167" ht="45" customHeight="1" spans="1:21">
      <c r="A167" s="7">
        <f>MAX($A$5:A166)+1</f>
        <v>129</v>
      </c>
      <c r="B167" s="7" t="s">
        <v>663</v>
      </c>
      <c r="C167" s="7" t="s">
        <v>721</v>
      </c>
      <c r="D167" s="7" t="s">
        <v>47</v>
      </c>
      <c r="E167" s="7" t="s">
        <v>169</v>
      </c>
      <c r="F167" s="7" t="s">
        <v>219</v>
      </c>
      <c r="G167" s="7" t="s">
        <v>30</v>
      </c>
      <c r="H167" s="7" t="s">
        <v>722</v>
      </c>
      <c r="I167" s="7" t="s">
        <v>723</v>
      </c>
      <c r="J167" s="7" t="s">
        <v>71</v>
      </c>
      <c r="K167" s="7" t="s">
        <v>72</v>
      </c>
      <c r="L167" s="10" t="s">
        <v>73</v>
      </c>
      <c r="M167" s="7">
        <f t="shared" si="4"/>
        <v>320.8</v>
      </c>
      <c r="N167" s="22"/>
      <c r="O167" s="12"/>
      <c r="P167" s="12"/>
      <c r="Q167" s="21">
        <v>320.8</v>
      </c>
      <c r="R167" s="12">
        <f>160.4+96.24</f>
        <v>256.64</v>
      </c>
      <c r="S167" s="20" t="s">
        <v>724</v>
      </c>
      <c r="T167" s="20" t="s">
        <v>725</v>
      </c>
      <c r="U167" s="20" t="s">
        <v>57</v>
      </c>
    </row>
    <row r="168" ht="45" customHeight="1" spans="1:21">
      <c r="A168" s="7">
        <f>MAX($A$5:A167)+1</f>
        <v>130</v>
      </c>
      <c r="B168" s="7" t="s">
        <v>663</v>
      </c>
      <c r="C168" s="7" t="s">
        <v>726</v>
      </c>
      <c r="D168" s="7" t="s">
        <v>47</v>
      </c>
      <c r="E168" s="7" t="s">
        <v>269</v>
      </c>
      <c r="F168" s="7" t="s">
        <v>97</v>
      </c>
      <c r="G168" s="7" t="s">
        <v>30</v>
      </c>
      <c r="H168" s="7" t="s">
        <v>727</v>
      </c>
      <c r="I168" s="7" t="s">
        <v>728</v>
      </c>
      <c r="J168" s="7" t="s">
        <v>71</v>
      </c>
      <c r="K168" s="7" t="s">
        <v>72</v>
      </c>
      <c r="L168" s="10" t="s">
        <v>73</v>
      </c>
      <c r="M168" s="7">
        <f t="shared" si="4"/>
        <v>178.23</v>
      </c>
      <c r="N168" s="22"/>
      <c r="O168" s="12"/>
      <c r="P168" s="12"/>
      <c r="Q168" s="21">
        <v>178.23</v>
      </c>
      <c r="R168" s="12">
        <f>89.115+53.469</f>
        <v>142.584</v>
      </c>
      <c r="S168" s="20" t="s">
        <v>729</v>
      </c>
      <c r="T168" s="20" t="s">
        <v>730</v>
      </c>
      <c r="U168" s="20" t="s">
        <v>57</v>
      </c>
    </row>
    <row r="169" ht="45" customHeight="1" spans="1:21">
      <c r="A169" s="7">
        <f>MAX($A$5:A168)+1</f>
        <v>131</v>
      </c>
      <c r="B169" s="7" t="s">
        <v>663</v>
      </c>
      <c r="C169" s="7" t="s">
        <v>731</v>
      </c>
      <c r="D169" s="7" t="s">
        <v>47</v>
      </c>
      <c r="E169" s="7" t="s">
        <v>66</v>
      </c>
      <c r="F169" s="7" t="s">
        <v>97</v>
      </c>
      <c r="G169" s="7" t="s">
        <v>30</v>
      </c>
      <c r="H169" s="7" t="s">
        <v>732</v>
      </c>
      <c r="I169" s="7" t="s">
        <v>733</v>
      </c>
      <c r="J169" s="7" t="s">
        <v>71</v>
      </c>
      <c r="K169" s="7" t="s">
        <v>72</v>
      </c>
      <c r="L169" s="10" t="s">
        <v>73</v>
      </c>
      <c r="M169" s="7">
        <f t="shared" si="4"/>
        <v>191.9</v>
      </c>
      <c r="N169" s="22"/>
      <c r="O169" s="12"/>
      <c r="P169" s="12"/>
      <c r="Q169" s="21">
        <v>191.9</v>
      </c>
      <c r="R169" s="12">
        <f>95.95+57.57</f>
        <v>153.52</v>
      </c>
      <c r="S169" s="20" t="s">
        <v>734</v>
      </c>
      <c r="T169" s="20" t="s">
        <v>735</v>
      </c>
      <c r="U169" s="20" t="s">
        <v>57</v>
      </c>
    </row>
    <row r="170" ht="45" customHeight="1" spans="1:21">
      <c r="A170" s="7">
        <f>MAX($A$5:A169)+1</f>
        <v>132</v>
      </c>
      <c r="B170" s="7" t="s">
        <v>663</v>
      </c>
      <c r="C170" s="7" t="s">
        <v>736</v>
      </c>
      <c r="D170" s="7" t="s">
        <v>39</v>
      </c>
      <c r="E170" s="7" t="s">
        <v>59</v>
      </c>
      <c r="F170" s="7" t="s">
        <v>41</v>
      </c>
      <c r="G170" s="7" t="s">
        <v>30</v>
      </c>
      <c r="H170" s="7" t="s">
        <v>496</v>
      </c>
      <c r="I170" s="7" t="s">
        <v>737</v>
      </c>
      <c r="J170" s="7" t="s">
        <v>33</v>
      </c>
      <c r="K170" s="7" t="s">
        <v>522</v>
      </c>
      <c r="L170" s="10" t="s">
        <v>35</v>
      </c>
      <c r="M170" s="7">
        <f t="shared" si="4"/>
        <v>79.4</v>
      </c>
      <c r="N170" s="21">
        <v>79.4</v>
      </c>
      <c r="O170" s="12"/>
      <c r="P170" s="12"/>
      <c r="Q170" s="12"/>
      <c r="R170" s="12">
        <f>39.7+31.76</f>
        <v>71.46</v>
      </c>
      <c r="S170" s="20" t="s">
        <v>498</v>
      </c>
      <c r="T170" s="20" t="s">
        <v>499</v>
      </c>
      <c r="U170" s="20" t="s">
        <v>37</v>
      </c>
    </row>
    <row r="171" ht="45" customHeight="1" spans="1:21">
      <c r="A171" s="7">
        <f>MAX($A$5:A170)+1</f>
        <v>133</v>
      </c>
      <c r="B171" s="7" t="s">
        <v>663</v>
      </c>
      <c r="C171" s="7" t="s">
        <v>738</v>
      </c>
      <c r="D171" s="7" t="s">
        <v>47</v>
      </c>
      <c r="E171" s="7" t="s">
        <v>269</v>
      </c>
      <c r="F171" s="7" t="s">
        <v>739</v>
      </c>
      <c r="G171" s="7" t="s">
        <v>30</v>
      </c>
      <c r="H171" s="7" t="s">
        <v>740</v>
      </c>
      <c r="I171" s="7" t="s">
        <v>741</v>
      </c>
      <c r="J171" s="7" t="s">
        <v>71</v>
      </c>
      <c r="K171" s="7" t="s">
        <v>72</v>
      </c>
      <c r="L171" s="10" t="s">
        <v>73</v>
      </c>
      <c r="M171" s="7">
        <f t="shared" si="4"/>
        <v>327.8</v>
      </c>
      <c r="N171" s="22"/>
      <c r="O171" s="12"/>
      <c r="P171" s="12"/>
      <c r="Q171" s="21">
        <v>327.8</v>
      </c>
      <c r="R171" s="12">
        <f>163.9</f>
        <v>163.9</v>
      </c>
      <c r="S171" s="20" t="s">
        <v>742</v>
      </c>
      <c r="T171" s="20" t="s">
        <v>743</v>
      </c>
      <c r="U171" s="20" t="s">
        <v>57</v>
      </c>
    </row>
    <row r="172" ht="45" customHeight="1" spans="1:21">
      <c r="A172" s="7">
        <f>MAX($A$5:A171)+1</f>
        <v>134</v>
      </c>
      <c r="B172" s="7" t="s">
        <v>744</v>
      </c>
      <c r="C172" s="7" t="s">
        <v>745</v>
      </c>
      <c r="D172" s="7" t="s">
        <v>28</v>
      </c>
      <c r="E172" s="7" t="s">
        <v>746</v>
      </c>
      <c r="F172" s="7" t="s">
        <v>157</v>
      </c>
      <c r="G172" s="7" t="s">
        <v>157</v>
      </c>
      <c r="H172" s="7" t="s">
        <v>31</v>
      </c>
      <c r="I172" s="7" t="s">
        <v>747</v>
      </c>
      <c r="J172" s="7" t="s">
        <v>71</v>
      </c>
      <c r="K172" s="7" t="s">
        <v>72</v>
      </c>
      <c r="L172" s="10" t="s">
        <v>73</v>
      </c>
      <c r="M172" s="7">
        <f t="shared" si="4"/>
        <v>220.4383</v>
      </c>
      <c r="N172" s="12"/>
      <c r="O172" s="12"/>
      <c r="P172" s="12"/>
      <c r="Q172" s="7">
        <v>220.4383</v>
      </c>
      <c r="R172" s="12">
        <f>177.0143+43.424</f>
        <v>220.4383</v>
      </c>
      <c r="S172" s="20"/>
      <c r="T172" s="20" t="s">
        <v>748</v>
      </c>
      <c r="U172" s="20" t="s">
        <v>130</v>
      </c>
    </row>
    <row r="173" ht="45" customHeight="1" spans="1:21">
      <c r="A173" s="7"/>
      <c r="B173" s="7"/>
      <c r="C173" s="7" t="s">
        <v>745</v>
      </c>
      <c r="D173" s="7" t="s">
        <v>28</v>
      </c>
      <c r="E173" s="7" t="s">
        <v>746</v>
      </c>
      <c r="F173" s="7" t="s">
        <v>157</v>
      </c>
      <c r="G173" s="7" t="s">
        <v>157</v>
      </c>
      <c r="H173" s="7" t="s">
        <v>31</v>
      </c>
      <c r="I173" s="7" t="s">
        <v>747</v>
      </c>
      <c r="J173" s="7" t="s">
        <v>52</v>
      </c>
      <c r="K173" s="7" t="s">
        <v>522</v>
      </c>
      <c r="L173" s="10" t="s">
        <v>54</v>
      </c>
      <c r="M173" s="7">
        <f t="shared" si="4"/>
        <v>350.0179</v>
      </c>
      <c r="N173" s="12"/>
      <c r="O173" s="12">
        <v>350.0179</v>
      </c>
      <c r="P173" s="12"/>
      <c r="Q173" s="7"/>
      <c r="R173" s="12">
        <v>350.0179</v>
      </c>
      <c r="S173" s="20"/>
      <c r="T173" s="20" t="s">
        <v>748</v>
      </c>
      <c r="U173" s="20" t="s">
        <v>130</v>
      </c>
    </row>
    <row r="174" ht="45" customHeight="1" spans="1:21">
      <c r="A174" s="7"/>
      <c r="B174" s="7"/>
      <c r="C174" s="7" t="s">
        <v>745</v>
      </c>
      <c r="D174" s="7" t="s">
        <v>28</v>
      </c>
      <c r="E174" s="7" t="s">
        <v>746</v>
      </c>
      <c r="F174" s="7" t="s">
        <v>157</v>
      </c>
      <c r="G174" s="7" t="s">
        <v>157</v>
      </c>
      <c r="H174" s="7" t="s">
        <v>31</v>
      </c>
      <c r="I174" s="7" t="s">
        <v>747</v>
      </c>
      <c r="J174" s="7" t="s">
        <v>144</v>
      </c>
      <c r="K174" s="7" t="s">
        <v>598</v>
      </c>
      <c r="L174" s="10" t="s">
        <v>146</v>
      </c>
      <c r="M174" s="7">
        <f t="shared" si="4"/>
        <v>225.1318</v>
      </c>
      <c r="N174" s="12"/>
      <c r="O174" s="12"/>
      <c r="P174" s="12">
        <v>225.1318</v>
      </c>
      <c r="Q174" s="7"/>
      <c r="R174" s="12">
        <v>225.1318</v>
      </c>
      <c r="S174" s="20"/>
      <c r="T174" s="20" t="s">
        <v>748</v>
      </c>
      <c r="U174" s="20" t="s">
        <v>130</v>
      </c>
    </row>
    <row r="175" ht="45" customHeight="1" spans="1:21">
      <c r="A175" s="7">
        <f>MAX($A$5:A172)+1</f>
        <v>135</v>
      </c>
      <c r="B175" s="7" t="s">
        <v>744</v>
      </c>
      <c r="C175" s="7" t="s">
        <v>749</v>
      </c>
      <c r="D175" s="7" t="s">
        <v>28</v>
      </c>
      <c r="E175" s="7" t="s">
        <v>746</v>
      </c>
      <c r="F175" s="7" t="s">
        <v>157</v>
      </c>
      <c r="G175" s="7" t="s">
        <v>157</v>
      </c>
      <c r="H175" s="7" t="s">
        <v>31</v>
      </c>
      <c r="I175" s="7" t="s">
        <v>750</v>
      </c>
      <c r="J175" s="7" t="s">
        <v>71</v>
      </c>
      <c r="K175" s="7" t="s">
        <v>72</v>
      </c>
      <c r="L175" s="10" t="s">
        <v>73</v>
      </c>
      <c r="M175" s="7">
        <f t="shared" si="4"/>
        <v>53.9803</v>
      </c>
      <c r="N175" s="12"/>
      <c r="O175" s="12"/>
      <c r="P175" s="12"/>
      <c r="Q175" s="7">
        <v>53.9803</v>
      </c>
      <c r="R175" s="12">
        <f>6.43+47.5503</f>
        <v>53.9803</v>
      </c>
      <c r="S175" s="20"/>
      <c r="T175" s="20" t="s">
        <v>751</v>
      </c>
      <c r="U175" s="20" t="s">
        <v>130</v>
      </c>
    </row>
    <row r="176" ht="45" customHeight="1" spans="1:21">
      <c r="A176" s="7">
        <f>MAX($A$5:A175)+1</f>
        <v>136</v>
      </c>
      <c r="B176" s="7" t="s">
        <v>744</v>
      </c>
      <c r="C176" s="7" t="s">
        <v>752</v>
      </c>
      <c r="D176" s="7" t="s">
        <v>28</v>
      </c>
      <c r="E176" s="7" t="s">
        <v>269</v>
      </c>
      <c r="F176" s="7" t="s">
        <v>160</v>
      </c>
      <c r="G176" s="7" t="s">
        <v>160</v>
      </c>
      <c r="H176" s="7" t="s">
        <v>31</v>
      </c>
      <c r="I176" s="7" t="s">
        <v>138</v>
      </c>
      <c r="J176" s="7" t="s">
        <v>71</v>
      </c>
      <c r="K176" s="7" t="s">
        <v>72</v>
      </c>
      <c r="L176" s="10" t="s">
        <v>73</v>
      </c>
      <c r="M176" s="7">
        <f t="shared" si="4"/>
        <v>71.4</v>
      </c>
      <c r="N176" s="12"/>
      <c r="O176" s="12"/>
      <c r="P176" s="12"/>
      <c r="Q176" s="7">
        <v>71.4</v>
      </c>
      <c r="R176" s="12">
        <v>71.4</v>
      </c>
      <c r="S176" s="20"/>
      <c r="T176" s="20" t="s">
        <v>753</v>
      </c>
      <c r="U176" s="20" t="s">
        <v>140</v>
      </c>
    </row>
    <row r="177" ht="45" customHeight="1" spans="1:21">
      <c r="A177" s="7">
        <f>MAX($A$5:A176)+1</f>
        <v>137</v>
      </c>
      <c r="B177" s="7" t="s">
        <v>744</v>
      </c>
      <c r="C177" s="7" t="s">
        <v>754</v>
      </c>
      <c r="D177" s="7" t="s">
        <v>47</v>
      </c>
      <c r="E177" s="7" t="s">
        <v>126</v>
      </c>
      <c r="F177" s="7" t="s">
        <v>411</v>
      </c>
      <c r="G177" s="7" t="s">
        <v>411</v>
      </c>
      <c r="H177" s="7" t="s">
        <v>31</v>
      </c>
      <c r="I177" s="7" t="s">
        <v>128</v>
      </c>
      <c r="J177" s="7" t="s">
        <v>144</v>
      </c>
      <c r="K177" s="7" t="s">
        <v>598</v>
      </c>
      <c r="L177" s="10" t="s">
        <v>146</v>
      </c>
      <c r="M177" s="7">
        <f t="shared" si="4"/>
        <v>34.76044</v>
      </c>
      <c r="N177" s="12"/>
      <c r="O177" s="12"/>
      <c r="P177" s="22">
        <v>34.76044</v>
      </c>
      <c r="Q177" s="12"/>
      <c r="R177" s="12">
        <v>34.76044</v>
      </c>
      <c r="S177" s="20" t="s">
        <v>755</v>
      </c>
      <c r="T177" s="20"/>
      <c r="U177" s="20" t="s">
        <v>130</v>
      </c>
    </row>
    <row r="178" ht="45" customHeight="1" spans="1:21">
      <c r="A178" s="7"/>
      <c r="B178" s="7"/>
      <c r="C178" s="7" t="s">
        <v>756</v>
      </c>
      <c r="D178" s="7" t="s">
        <v>47</v>
      </c>
      <c r="E178" s="7" t="s">
        <v>126</v>
      </c>
      <c r="F178" s="7" t="s">
        <v>411</v>
      </c>
      <c r="G178" s="7" t="s">
        <v>411</v>
      </c>
      <c r="H178" s="7" t="s">
        <v>31</v>
      </c>
      <c r="I178" s="7" t="s">
        <v>128</v>
      </c>
      <c r="J178" s="7" t="s">
        <v>144</v>
      </c>
      <c r="K178" s="7" t="s">
        <v>757</v>
      </c>
      <c r="L178" s="10" t="s">
        <v>146</v>
      </c>
      <c r="M178" s="7">
        <f t="shared" si="4"/>
        <v>33.510636</v>
      </c>
      <c r="N178" s="12"/>
      <c r="O178" s="12"/>
      <c r="P178" s="22">
        <v>33.510636</v>
      </c>
      <c r="Q178" s="12"/>
      <c r="R178" s="12">
        <v>33.510636</v>
      </c>
      <c r="S178" s="20" t="s">
        <v>755</v>
      </c>
      <c r="T178" s="20"/>
      <c r="U178" s="20" t="s">
        <v>130</v>
      </c>
    </row>
    <row r="179" ht="45" customHeight="1" spans="1:21">
      <c r="A179" s="7">
        <f>MAX($A$5:A178)+1</f>
        <v>138</v>
      </c>
      <c r="B179" s="7" t="s">
        <v>744</v>
      </c>
      <c r="C179" s="7" t="s">
        <v>758</v>
      </c>
      <c r="D179" s="7" t="s">
        <v>47</v>
      </c>
      <c r="E179" s="7" t="s">
        <v>397</v>
      </c>
      <c r="F179" s="7" t="s">
        <v>343</v>
      </c>
      <c r="G179" s="7" t="s">
        <v>343</v>
      </c>
      <c r="H179" s="7" t="s">
        <v>31</v>
      </c>
      <c r="I179" s="7" t="s">
        <v>759</v>
      </c>
      <c r="J179" s="7" t="s">
        <v>33</v>
      </c>
      <c r="K179" s="7" t="s">
        <v>34</v>
      </c>
      <c r="L179" s="10" t="s">
        <v>35</v>
      </c>
      <c r="M179" s="7">
        <f t="shared" si="4"/>
        <v>321.1268</v>
      </c>
      <c r="N179" s="7">
        <v>321.1268</v>
      </c>
      <c r="O179" s="12"/>
      <c r="P179" s="12"/>
      <c r="Q179" s="12"/>
      <c r="R179" s="12">
        <v>321.1268</v>
      </c>
      <c r="S179" s="20" t="s">
        <v>760</v>
      </c>
      <c r="T179" s="20"/>
      <c r="U179" s="20" t="s">
        <v>130</v>
      </c>
    </row>
    <row r="180" ht="45" customHeight="1" spans="1:21">
      <c r="A180" s="7"/>
      <c r="B180" s="7"/>
      <c r="C180" s="7" t="s">
        <v>758</v>
      </c>
      <c r="D180" s="7" t="s">
        <v>47</v>
      </c>
      <c r="E180" s="7" t="s">
        <v>397</v>
      </c>
      <c r="F180" s="7" t="s">
        <v>343</v>
      </c>
      <c r="G180" s="7" t="s">
        <v>343</v>
      </c>
      <c r="H180" s="7" t="s">
        <v>31</v>
      </c>
      <c r="I180" s="7" t="s">
        <v>759</v>
      </c>
      <c r="J180" s="7" t="s">
        <v>33</v>
      </c>
      <c r="K180" s="7" t="s">
        <v>522</v>
      </c>
      <c r="L180" s="10" t="s">
        <v>35</v>
      </c>
      <c r="M180" s="7">
        <f t="shared" si="4"/>
        <v>1073.5965</v>
      </c>
      <c r="N180" s="7">
        <v>1073.5965</v>
      </c>
      <c r="O180" s="12"/>
      <c r="P180" s="12"/>
      <c r="Q180" s="12"/>
      <c r="R180" s="12">
        <v>1073.5965</v>
      </c>
      <c r="S180" s="20" t="s">
        <v>760</v>
      </c>
      <c r="T180" s="20"/>
      <c r="U180" s="20" t="s">
        <v>130</v>
      </c>
    </row>
    <row r="181" ht="45" customHeight="1" spans="1:21">
      <c r="A181" s="7"/>
      <c r="B181" s="7"/>
      <c r="C181" s="7" t="s">
        <v>758</v>
      </c>
      <c r="D181" s="7" t="s">
        <v>47</v>
      </c>
      <c r="E181" s="7" t="s">
        <v>397</v>
      </c>
      <c r="F181" s="7" t="s">
        <v>343</v>
      </c>
      <c r="G181" s="7" t="s">
        <v>343</v>
      </c>
      <c r="H181" s="7" t="s">
        <v>31</v>
      </c>
      <c r="I181" s="7" t="s">
        <v>759</v>
      </c>
      <c r="J181" s="7" t="s">
        <v>52</v>
      </c>
      <c r="K181" s="7" t="s">
        <v>53</v>
      </c>
      <c r="L181" s="10" t="s">
        <v>54</v>
      </c>
      <c r="M181" s="7">
        <f t="shared" si="4"/>
        <v>228.6355</v>
      </c>
      <c r="N181" s="12"/>
      <c r="O181" s="22">
        <v>228.6355</v>
      </c>
      <c r="P181" s="12"/>
      <c r="Q181" s="12"/>
      <c r="R181" s="12">
        <v>228.6355</v>
      </c>
      <c r="S181" s="20" t="s">
        <v>760</v>
      </c>
      <c r="T181" s="20"/>
      <c r="U181" s="20" t="s">
        <v>130</v>
      </c>
    </row>
    <row r="182" ht="45" customHeight="1" spans="1:21">
      <c r="A182" s="7"/>
      <c r="B182" s="7"/>
      <c r="C182" s="7" t="s">
        <v>758</v>
      </c>
      <c r="D182" s="7" t="s">
        <v>47</v>
      </c>
      <c r="E182" s="7" t="s">
        <v>397</v>
      </c>
      <c r="F182" s="7" t="s">
        <v>343</v>
      </c>
      <c r="G182" s="7" t="s">
        <v>343</v>
      </c>
      <c r="H182" s="7" t="s">
        <v>31</v>
      </c>
      <c r="I182" s="7" t="s">
        <v>759</v>
      </c>
      <c r="J182" s="7" t="s">
        <v>52</v>
      </c>
      <c r="K182" s="7" t="s">
        <v>522</v>
      </c>
      <c r="L182" s="10" t="s">
        <v>54</v>
      </c>
      <c r="M182" s="7">
        <f t="shared" si="4"/>
        <v>275.8458</v>
      </c>
      <c r="N182" s="12"/>
      <c r="O182" s="22">
        <v>275.8458</v>
      </c>
      <c r="P182" s="12"/>
      <c r="Q182" s="12"/>
      <c r="R182" s="12">
        <v>275.8458</v>
      </c>
      <c r="S182" s="20" t="s">
        <v>760</v>
      </c>
      <c r="T182" s="20"/>
      <c r="U182" s="20" t="s">
        <v>130</v>
      </c>
    </row>
    <row r="183" ht="45" customHeight="1" spans="1:21">
      <c r="A183" s="7"/>
      <c r="B183" s="7"/>
      <c r="C183" s="7" t="s">
        <v>758</v>
      </c>
      <c r="D183" s="7" t="s">
        <v>47</v>
      </c>
      <c r="E183" s="7" t="s">
        <v>397</v>
      </c>
      <c r="F183" s="7" t="s">
        <v>343</v>
      </c>
      <c r="G183" s="7" t="s">
        <v>343</v>
      </c>
      <c r="H183" s="7" t="s">
        <v>31</v>
      </c>
      <c r="I183" s="7" t="s">
        <v>759</v>
      </c>
      <c r="J183" s="7" t="s">
        <v>52</v>
      </c>
      <c r="K183" s="7" t="s">
        <v>761</v>
      </c>
      <c r="L183" s="10" t="s">
        <v>54</v>
      </c>
      <c r="M183" s="7">
        <f t="shared" si="4"/>
        <v>839</v>
      </c>
      <c r="N183" s="12"/>
      <c r="O183" s="22">
        <v>839</v>
      </c>
      <c r="P183" s="12"/>
      <c r="Q183" s="12"/>
      <c r="R183" s="12">
        <v>839</v>
      </c>
      <c r="S183" s="20" t="s">
        <v>760</v>
      </c>
      <c r="T183" s="20"/>
      <c r="U183" s="20" t="s">
        <v>130</v>
      </c>
    </row>
    <row r="184" ht="45" customHeight="1" spans="1:21">
      <c r="A184" s="7"/>
      <c r="B184" s="7"/>
      <c r="C184" s="7" t="s">
        <v>758</v>
      </c>
      <c r="D184" s="7" t="s">
        <v>47</v>
      </c>
      <c r="E184" s="7" t="s">
        <v>397</v>
      </c>
      <c r="F184" s="7" t="s">
        <v>343</v>
      </c>
      <c r="G184" s="7" t="s">
        <v>343</v>
      </c>
      <c r="H184" s="7" t="s">
        <v>31</v>
      </c>
      <c r="I184" s="7" t="s">
        <v>759</v>
      </c>
      <c r="J184" s="7" t="s">
        <v>144</v>
      </c>
      <c r="K184" s="7" t="s">
        <v>598</v>
      </c>
      <c r="L184" s="10" t="s">
        <v>146</v>
      </c>
      <c r="M184" s="7">
        <f t="shared" si="4"/>
        <v>41.3446</v>
      </c>
      <c r="N184" s="12"/>
      <c r="O184" s="12"/>
      <c r="P184" s="22">
        <v>41.3446</v>
      </c>
      <c r="Q184" s="12"/>
      <c r="R184" s="12">
        <v>41.3446</v>
      </c>
      <c r="S184" s="7" t="s">
        <v>760</v>
      </c>
      <c r="T184" s="7"/>
      <c r="U184" s="7" t="s">
        <v>130</v>
      </c>
    </row>
    <row r="185" ht="45" customHeight="1" spans="1:21">
      <c r="A185" s="7">
        <f>MAX($A$5:A184)+1</f>
        <v>139</v>
      </c>
      <c r="B185" s="7" t="s">
        <v>744</v>
      </c>
      <c r="C185" s="7" t="s">
        <v>762</v>
      </c>
      <c r="D185" s="7" t="s">
        <v>47</v>
      </c>
      <c r="E185" s="7" t="s">
        <v>397</v>
      </c>
      <c r="F185" s="7" t="s">
        <v>408</v>
      </c>
      <c r="G185" s="7" t="s">
        <v>408</v>
      </c>
      <c r="H185" s="7" t="s">
        <v>31</v>
      </c>
      <c r="I185" s="7" t="s">
        <v>763</v>
      </c>
      <c r="J185" s="7" t="s">
        <v>144</v>
      </c>
      <c r="K185" s="7" t="s">
        <v>598</v>
      </c>
      <c r="L185" s="10" t="s">
        <v>146</v>
      </c>
      <c r="M185" s="7">
        <f t="shared" si="4"/>
        <v>2.53</v>
      </c>
      <c r="N185" s="12"/>
      <c r="O185" s="12"/>
      <c r="P185" s="22">
        <v>2.53</v>
      </c>
      <c r="Q185" s="12"/>
      <c r="R185" s="12">
        <v>2.53</v>
      </c>
      <c r="S185" s="7" t="s">
        <v>764</v>
      </c>
      <c r="T185" s="7"/>
      <c r="U185" s="7" t="s">
        <v>130</v>
      </c>
    </row>
    <row r="186" ht="45" customHeight="1" spans="1:21">
      <c r="A186" s="7">
        <f>MAX($A$5:A185)+1</f>
        <v>140</v>
      </c>
      <c r="B186" s="7" t="s">
        <v>744</v>
      </c>
      <c r="C186" s="7" t="s">
        <v>765</v>
      </c>
      <c r="D186" s="7" t="s">
        <v>47</v>
      </c>
      <c r="E186" s="7" t="s">
        <v>397</v>
      </c>
      <c r="F186" s="7" t="s">
        <v>766</v>
      </c>
      <c r="G186" s="7" t="s">
        <v>766</v>
      </c>
      <c r="H186" s="7" t="s">
        <v>31</v>
      </c>
      <c r="I186" s="7" t="s">
        <v>767</v>
      </c>
      <c r="J186" s="7" t="s">
        <v>144</v>
      </c>
      <c r="K186" s="7" t="s">
        <v>598</v>
      </c>
      <c r="L186" s="10" t="s">
        <v>146</v>
      </c>
      <c r="M186" s="7">
        <f t="shared" si="4"/>
        <v>3.3</v>
      </c>
      <c r="N186" s="12"/>
      <c r="O186" s="12"/>
      <c r="P186" s="22">
        <v>3.3</v>
      </c>
      <c r="Q186" s="12"/>
      <c r="R186" s="12">
        <v>3.3</v>
      </c>
      <c r="S186" s="7" t="s">
        <v>768</v>
      </c>
      <c r="T186" s="7"/>
      <c r="U186" s="7" t="s">
        <v>130</v>
      </c>
    </row>
    <row r="187" ht="45" customHeight="1" spans="1:21">
      <c r="A187" s="7">
        <f>MAX($A$5:A186)+1</f>
        <v>141</v>
      </c>
      <c r="B187" s="7" t="s">
        <v>744</v>
      </c>
      <c r="C187" s="7" t="s">
        <v>769</v>
      </c>
      <c r="D187" s="7" t="s">
        <v>47</v>
      </c>
      <c r="E187" s="7" t="s">
        <v>397</v>
      </c>
      <c r="F187" s="7" t="s">
        <v>30</v>
      </c>
      <c r="G187" s="7" t="s">
        <v>30</v>
      </c>
      <c r="H187" s="7" t="s">
        <v>31</v>
      </c>
      <c r="I187" s="7" t="s">
        <v>770</v>
      </c>
      <c r="J187" s="7" t="s">
        <v>71</v>
      </c>
      <c r="K187" s="7" t="s">
        <v>72</v>
      </c>
      <c r="L187" s="10" t="s">
        <v>73</v>
      </c>
      <c r="M187" s="7">
        <f t="shared" si="4"/>
        <v>120.280818</v>
      </c>
      <c r="N187" s="12"/>
      <c r="O187" s="12"/>
      <c r="P187" s="12"/>
      <c r="Q187" s="22">
        <v>120.280818</v>
      </c>
      <c r="R187" s="12">
        <v>120.280818</v>
      </c>
      <c r="S187" s="7" t="s">
        <v>771</v>
      </c>
      <c r="T187" s="7"/>
      <c r="U187" s="7" t="s">
        <v>130</v>
      </c>
    </row>
    <row r="188" ht="45" customHeight="1" spans="1:21">
      <c r="A188" s="7">
        <f>MAX($A$5:A187)+1</f>
        <v>142</v>
      </c>
      <c r="B188" s="7" t="s">
        <v>744</v>
      </c>
      <c r="C188" s="7" t="s">
        <v>772</v>
      </c>
      <c r="D188" s="7" t="s">
        <v>47</v>
      </c>
      <c r="E188" s="7" t="s">
        <v>397</v>
      </c>
      <c r="F188" s="7" t="s">
        <v>30</v>
      </c>
      <c r="G188" s="7" t="s">
        <v>30</v>
      </c>
      <c r="H188" s="7" t="s">
        <v>31</v>
      </c>
      <c r="I188" s="7" t="s">
        <v>773</v>
      </c>
      <c r="J188" s="7" t="s">
        <v>144</v>
      </c>
      <c r="K188" s="7" t="s">
        <v>598</v>
      </c>
      <c r="L188" s="10" t="s">
        <v>146</v>
      </c>
      <c r="M188" s="7">
        <f t="shared" si="4"/>
        <v>58.628</v>
      </c>
      <c r="N188" s="12"/>
      <c r="O188" s="12"/>
      <c r="P188" s="12">
        <v>58.628</v>
      </c>
      <c r="Q188" s="12"/>
      <c r="R188" s="12">
        <v>58.628</v>
      </c>
      <c r="S188" s="7" t="s">
        <v>774</v>
      </c>
      <c r="T188" s="7"/>
      <c r="U188" s="7" t="s">
        <v>130</v>
      </c>
    </row>
    <row r="189" ht="45" customHeight="1" spans="1:21">
      <c r="A189" s="7"/>
      <c r="B189" s="7"/>
      <c r="C189" s="7" t="s">
        <v>775</v>
      </c>
      <c r="D189" s="7" t="s">
        <v>47</v>
      </c>
      <c r="E189" s="7" t="s">
        <v>397</v>
      </c>
      <c r="F189" s="7" t="s">
        <v>30</v>
      </c>
      <c r="G189" s="7" t="s">
        <v>30</v>
      </c>
      <c r="H189" s="7" t="s">
        <v>31</v>
      </c>
      <c r="I189" s="7" t="s">
        <v>773</v>
      </c>
      <c r="J189" s="7" t="s">
        <v>144</v>
      </c>
      <c r="K189" s="7" t="s">
        <v>757</v>
      </c>
      <c r="L189" s="10" t="s">
        <v>146</v>
      </c>
      <c r="M189" s="7">
        <f t="shared" si="4"/>
        <v>6.489364</v>
      </c>
      <c r="N189" s="12"/>
      <c r="O189" s="12"/>
      <c r="P189" s="12">
        <v>6.489364</v>
      </c>
      <c r="Q189" s="12"/>
      <c r="R189" s="12">
        <v>6.489364</v>
      </c>
      <c r="S189" s="7" t="s">
        <v>774</v>
      </c>
      <c r="T189" s="7"/>
      <c r="U189" s="7" t="s">
        <v>130</v>
      </c>
    </row>
    <row r="190" ht="45" customHeight="1" spans="1:21">
      <c r="A190" s="7"/>
      <c r="B190" s="7"/>
      <c r="C190" s="7" t="s">
        <v>776</v>
      </c>
      <c r="D190" s="7" t="s">
        <v>47</v>
      </c>
      <c r="E190" s="7" t="s">
        <v>397</v>
      </c>
      <c r="F190" s="7" t="s">
        <v>30</v>
      </c>
      <c r="G190" s="7" t="s">
        <v>30</v>
      </c>
      <c r="H190" s="7" t="s">
        <v>31</v>
      </c>
      <c r="I190" s="7" t="s">
        <v>773</v>
      </c>
      <c r="J190" s="7" t="s">
        <v>71</v>
      </c>
      <c r="K190" s="7" t="s">
        <v>72</v>
      </c>
      <c r="L190" s="10" t="s">
        <v>73</v>
      </c>
      <c r="M190" s="7">
        <f t="shared" si="4"/>
        <v>260.819757</v>
      </c>
      <c r="N190" s="12"/>
      <c r="O190" s="12"/>
      <c r="P190" s="12"/>
      <c r="Q190" s="12">
        <v>260.819757</v>
      </c>
      <c r="R190" s="12">
        <v>260.819757</v>
      </c>
      <c r="S190" s="7" t="s">
        <v>774</v>
      </c>
      <c r="T190" s="7"/>
      <c r="U190" s="7" t="s">
        <v>130</v>
      </c>
    </row>
    <row r="191" ht="30" customHeight="1" spans="1:21">
      <c r="A191" s="7">
        <f>MAX($A$5:A190)+1</f>
        <v>143</v>
      </c>
      <c r="B191" s="7" t="s">
        <v>777</v>
      </c>
      <c r="C191" s="7" t="s">
        <v>778</v>
      </c>
      <c r="D191" s="7" t="s">
        <v>47</v>
      </c>
      <c r="E191" s="7" t="s">
        <v>169</v>
      </c>
      <c r="F191" s="7" t="s">
        <v>60</v>
      </c>
      <c r="G191" s="7" t="s">
        <v>30</v>
      </c>
      <c r="H191" s="7" t="s">
        <v>779</v>
      </c>
      <c r="I191" s="7" t="s">
        <v>780</v>
      </c>
      <c r="J191" s="7" t="s">
        <v>71</v>
      </c>
      <c r="K191" s="7" t="s">
        <v>72</v>
      </c>
      <c r="L191" s="10" t="s">
        <v>73</v>
      </c>
      <c r="M191" s="7">
        <f t="shared" si="4"/>
        <v>273.4095</v>
      </c>
      <c r="N191" s="12"/>
      <c r="O191" s="12"/>
      <c r="P191" s="12"/>
      <c r="Q191" s="21">
        <v>273.4095</v>
      </c>
      <c r="R191" s="12"/>
      <c r="S191" s="22" t="s">
        <v>781</v>
      </c>
      <c r="T191" s="22" t="s">
        <v>782</v>
      </c>
      <c r="U191" s="7" t="s">
        <v>175</v>
      </c>
    </row>
    <row r="192" ht="30" customHeight="1" spans="1:21">
      <c r="A192" s="7">
        <f>MAX($A$5:A191)+1</f>
        <v>144</v>
      </c>
      <c r="B192" s="7" t="s">
        <v>777</v>
      </c>
      <c r="C192" s="7" t="s">
        <v>783</v>
      </c>
      <c r="D192" s="7" t="s">
        <v>47</v>
      </c>
      <c r="E192" s="7" t="s">
        <v>269</v>
      </c>
      <c r="F192" s="7" t="s">
        <v>97</v>
      </c>
      <c r="G192" s="7" t="s">
        <v>30</v>
      </c>
      <c r="H192" s="7" t="s">
        <v>784</v>
      </c>
      <c r="I192" s="7" t="s">
        <v>785</v>
      </c>
      <c r="J192" s="7" t="s">
        <v>71</v>
      </c>
      <c r="K192" s="7" t="s">
        <v>72</v>
      </c>
      <c r="L192" s="10" t="s">
        <v>73</v>
      </c>
      <c r="M192" s="7">
        <f t="shared" si="4"/>
        <v>194.75</v>
      </c>
      <c r="N192" s="12"/>
      <c r="O192" s="12"/>
      <c r="P192" s="12"/>
      <c r="Q192" s="21">
        <v>194.75</v>
      </c>
      <c r="R192" s="12">
        <f>97.375</f>
        <v>97.375</v>
      </c>
      <c r="S192" s="22" t="s">
        <v>786</v>
      </c>
      <c r="T192" s="22" t="s">
        <v>787</v>
      </c>
      <c r="U192" s="7" t="s">
        <v>175</v>
      </c>
    </row>
    <row r="193" ht="30" customHeight="1" spans="1:21">
      <c r="A193" s="7">
        <f>MAX($A$5:A192)+1</f>
        <v>145</v>
      </c>
      <c r="B193" s="7" t="s">
        <v>777</v>
      </c>
      <c r="C193" s="7" t="s">
        <v>788</v>
      </c>
      <c r="D193" s="7" t="s">
        <v>47</v>
      </c>
      <c r="E193" s="7" t="s">
        <v>48</v>
      </c>
      <c r="F193" s="7" t="s">
        <v>97</v>
      </c>
      <c r="G193" s="7" t="s">
        <v>30</v>
      </c>
      <c r="H193" s="7" t="s">
        <v>789</v>
      </c>
      <c r="I193" s="7" t="s">
        <v>790</v>
      </c>
      <c r="J193" s="7" t="s">
        <v>71</v>
      </c>
      <c r="K193" s="7" t="s">
        <v>72</v>
      </c>
      <c r="L193" s="10" t="s">
        <v>73</v>
      </c>
      <c r="M193" s="7">
        <f t="shared" si="4"/>
        <v>98.5</v>
      </c>
      <c r="N193" s="12"/>
      <c r="O193" s="12"/>
      <c r="P193" s="12"/>
      <c r="Q193" s="21">
        <v>98.5</v>
      </c>
      <c r="R193" s="12">
        <f>49.25</f>
        <v>49.25</v>
      </c>
      <c r="S193" s="22" t="s">
        <v>791</v>
      </c>
      <c r="T193" s="22" t="s">
        <v>792</v>
      </c>
      <c r="U193" s="7" t="s">
        <v>175</v>
      </c>
    </row>
    <row r="194" ht="30" customHeight="1" spans="1:21">
      <c r="A194" s="7">
        <f>MAX($A$5:A193)+1</f>
        <v>146</v>
      </c>
      <c r="B194" s="7" t="s">
        <v>777</v>
      </c>
      <c r="C194" s="7" t="s">
        <v>793</v>
      </c>
      <c r="D194" s="7" t="s">
        <v>47</v>
      </c>
      <c r="E194" s="7" t="s">
        <v>169</v>
      </c>
      <c r="F194" s="7" t="s">
        <v>97</v>
      </c>
      <c r="G194" s="7" t="s">
        <v>30</v>
      </c>
      <c r="H194" s="7" t="s">
        <v>794</v>
      </c>
      <c r="I194" s="7" t="s">
        <v>795</v>
      </c>
      <c r="J194" s="7" t="s">
        <v>71</v>
      </c>
      <c r="K194" s="7" t="s">
        <v>72</v>
      </c>
      <c r="L194" s="10" t="s">
        <v>73</v>
      </c>
      <c r="M194" s="7">
        <f t="shared" si="4"/>
        <v>79.64</v>
      </c>
      <c r="N194" s="12"/>
      <c r="O194" s="12"/>
      <c r="P194" s="12"/>
      <c r="Q194" s="21">
        <v>79.64</v>
      </c>
      <c r="R194" s="12">
        <f>39.82</f>
        <v>39.82</v>
      </c>
      <c r="S194" s="22" t="s">
        <v>796</v>
      </c>
      <c r="T194" s="22" t="s">
        <v>797</v>
      </c>
      <c r="U194" s="7" t="s">
        <v>175</v>
      </c>
    </row>
    <row r="195" ht="30" customHeight="1" spans="1:21">
      <c r="A195" s="7">
        <f>MAX($A$5:A194)+1</f>
        <v>147</v>
      </c>
      <c r="B195" s="7" t="s">
        <v>777</v>
      </c>
      <c r="C195" s="7" t="s">
        <v>798</v>
      </c>
      <c r="D195" s="7" t="s">
        <v>47</v>
      </c>
      <c r="E195" s="7" t="s">
        <v>269</v>
      </c>
      <c r="F195" s="7" t="s">
        <v>219</v>
      </c>
      <c r="G195" s="7" t="s">
        <v>30</v>
      </c>
      <c r="H195" s="7" t="s">
        <v>799</v>
      </c>
      <c r="I195" s="7" t="s">
        <v>800</v>
      </c>
      <c r="J195" s="7" t="s">
        <v>71</v>
      </c>
      <c r="K195" s="7" t="s">
        <v>72</v>
      </c>
      <c r="L195" s="10" t="s">
        <v>73</v>
      </c>
      <c r="M195" s="7">
        <f t="shared" si="4"/>
        <v>223.35</v>
      </c>
      <c r="N195" s="12"/>
      <c r="O195" s="12"/>
      <c r="P195" s="12"/>
      <c r="Q195" s="21">
        <v>223.35</v>
      </c>
      <c r="R195" s="12">
        <f>111.675</f>
        <v>111.675</v>
      </c>
      <c r="S195" s="22" t="s">
        <v>801</v>
      </c>
      <c r="T195" s="22" t="s">
        <v>802</v>
      </c>
      <c r="U195" s="7" t="s">
        <v>57</v>
      </c>
    </row>
    <row r="196" ht="30" customHeight="1" spans="1:21">
      <c r="A196" s="7">
        <f>MAX($A$5:A195)+1</f>
        <v>148</v>
      </c>
      <c r="B196" s="7" t="s">
        <v>777</v>
      </c>
      <c r="C196" s="7" t="s">
        <v>803</v>
      </c>
      <c r="D196" s="7" t="s">
        <v>47</v>
      </c>
      <c r="E196" s="7" t="s">
        <v>66</v>
      </c>
      <c r="F196" s="7" t="s">
        <v>49</v>
      </c>
      <c r="G196" s="7" t="s">
        <v>30</v>
      </c>
      <c r="H196" s="7" t="s">
        <v>644</v>
      </c>
      <c r="I196" s="7" t="s">
        <v>804</v>
      </c>
      <c r="J196" s="7" t="s">
        <v>71</v>
      </c>
      <c r="K196" s="7" t="s">
        <v>72</v>
      </c>
      <c r="L196" s="10" t="s">
        <v>73</v>
      </c>
      <c r="M196" s="7">
        <f t="shared" si="4"/>
        <v>127.54</v>
      </c>
      <c r="N196" s="12"/>
      <c r="O196" s="12"/>
      <c r="P196" s="12"/>
      <c r="Q196" s="21">
        <v>127.54</v>
      </c>
      <c r="R196" s="12">
        <f>15.645+48.125</f>
        <v>63.77</v>
      </c>
      <c r="S196" s="22" t="s">
        <v>646</v>
      </c>
      <c r="T196" s="22" t="s">
        <v>647</v>
      </c>
      <c r="U196" s="7" t="s">
        <v>57</v>
      </c>
    </row>
    <row r="197" ht="30" customHeight="1" spans="1:21">
      <c r="A197" s="7">
        <f>MAX($A$5:A196)+1</f>
        <v>149</v>
      </c>
      <c r="B197" s="7" t="s">
        <v>777</v>
      </c>
      <c r="C197" s="7" t="s">
        <v>805</v>
      </c>
      <c r="D197" s="7" t="s">
        <v>47</v>
      </c>
      <c r="E197" s="7" t="s">
        <v>48</v>
      </c>
      <c r="F197" s="7" t="s">
        <v>49</v>
      </c>
      <c r="G197" s="7" t="s">
        <v>30</v>
      </c>
      <c r="H197" s="7" t="s">
        <v>50</v>
      </c>
      <c r="I197" s="7" t="s">
        <v>806</v>
      </c>
      <c r="J197" s="7" t="s">
        <v>71</v>
      </c>
      <c r="K197" s="7" t="s">
        <v>72</v>
      </c>
      <c r="L197" s="10" t="s">
        <v>73</v>
      </c>
      <c r="M197" s="7">
        <f t="shared" si="4"/>
        <v>117.24</v>
      </c>
      <c r="N197" s="12"/>
      <c r="O197" s="12"/>
      <c r="P197" s="12"/>
      <c r="Q197" s="21">
        <v>117.24</v>
      </c>
      <c r="R197" s="12">
        <f>58.62</f>
        <v>58.62</v>
      </c>
      <c r="S197" s="22" t="s">
        <v>55</v>
      </c>
      <c r="T197" s="22" t="s">
        <v>807</v>
      </c>
      <c r="U197" s="7" t="s">
        <v>57</v>
      </c>
    </row>
    <row r="198" ht="30" customHeight="1" spans="1:21">
      <c r="A198" s="7">
        <f>MAX($A$5:A197)+1</f>
        <v>150</v>
      </c>
      <c r="B198" s="7" t="s">
        <v>777</v>
      </c>
      <c r="C198" s="7" t="s">
        <v>808</v>
      </c>
      <c r="D198" s="7" t="s">
        <v>47</v>
      </c>
      <c r="E198" s="7" t="s">
        <v>48</v>
      </c>
      <c r="F198" s="7" t="s">
        <v>163</v>
      </c>
      <c r="G198" s="7" t="s">
        <v>30</v>
      </c>
      <c r="H198" s="7" t="s">
        <v>611</v>
      </c>
      <c r="I198" s="7" t="s">
        <v>809</v>
      </c>
      <c r="J198" s="7" t="s">
        <v>71</v>
      </c>
      <c r="K198" s="7" t="s">
        <v>72</v>
      </c>
      <c r="L198" s="10" t="s">
        <v>73</v>
      </c>
      <c r="M198" s="7">
        <f t="shared" si="4"/>
        <v>271.5</v>
      </c>
      <c r="N198" s="12"/>
      <c r="O198" s="12"/>
      <c r="P198" s="12"/>
      <c r="Q198" s="21">
        <v>271.5</v>
      </c>
      <c r="R198" s="12"/>
      <c r="S198" s="22" t="s">
        <v>810</v>
      </c>
      <c r="T198" s="22" t="s">
        <v>811</v>
      </c>
      <c r="U198" s="7" t="s">
        <v>57</v>
      </c>
    </row>
    <row r="199" ht="30" customHeight="1" spans="1:21">
      <c r="A199" s="7">
        <f>MAX($A$5:A198)+1</f>
        <v>151</v>
      </c>
      <c r="B199" s="7" t="s">
        <v>777</v>
      </c>
      <c r="C199" s="7" t="s">
        <v>812</v>
      </c>
      <c r="D199" s="7" t="s">
        <v>39</v>
      </c>
      <c r="E199" s="7" t="s">
        <v>83</v>
      </c>
      <c r="F199" s="7" t="s">
        <v>84</v>
      </c>
      <c r="G199" s="7" t="s">
        <v>30</v>
      </c>
      <c r="H199" s="7" t="s">
        <v>813</v>
      </c>
      <c r="I199" s="7" t="s">
        <v>814</v>
      </c>
      <c r="J199" s="7" t="s">
        <v>71</v>
      </c>
      <c r="K199" s="7" t="s">
        <v>72</v>
      </c>
      <c r="L199" s="10" t="s">
        <v>73</v>
      </c>
      <c r="M199" s="7">
        <f t="shared" si="4"/>
        <v>19.93271</v>
      </c>
      <c r="N199" s="12"/>
      <c r="O199" s="12"/>
      <c r="P199" s="12"/>
      <c r="Q199" s="21">
        <v>19.93271</v>
      </c>
      <c r="R199" s="12"/>
      <c r="S199" s="22" t="s">
        <v>815</v>
      </c>
      <c r="T199" s="22" t="s">
        <v>816</v>
      </c>
      <c r="U199" s="7" t="s">
        <v>37</v>
      </c>
    </row>
    <row r="200" ht="30" customHeight="1" spans="1:21">
      <c r="A200" s="7">
        <f>MAX($A$5:A199)+1</f>
        <v>152</v>
      </c>
      <c r="B200" s="7" t="s">
        <v>777</v>
      </c>
      <c r="C200" s="7" t="s">
        <v>817</v>
      </c>
      <c r="D200" s="7" t="s">
        <v>47</v>
      </c>
      <c r="E200" s="7" t="s">
        <v>397</v>
      </c>
      <c r="F200" s="7" t="s">
        <v>402</v>
      </c>
      <c r="G200" s="7" t="s">
        <v>402</v>
      </c>
      <c r="H200" s="7" t="s">
        <v>31</v>
      </c>
      <c r="I200" s="7" t="s">
        <v>818</v>
      </c>
      <c r="J200" s="7" t="s">
        <v>71</v>
      </c>
      <c r="K200" s="7" t="s">
        <v>72</v>
      </c>
      <c r="L200" s="10" t="s">
        <v>73</v>
      </c>
      <c r="M200" s="7">
        <f t="shared" si="4"/>
        <v>20.0358</v>
      </c>
      <c r="N200" s="12"/>
      <c r="O200" s="12"/>
      <c r="P200" s="12"/>
      <c r="Q200" s="22">
        <v>20.0358</v>
      </c>
      <c r="R200" s="11">
        <v>20.0358</v>
      </c>
      <c r="S200" s="22" t="s">
        <v>819</v>
      </c>
      <c r="T200" s="22"/>
      <c r="U200" s="7" t="s">
        <v>130</v>
      </c>
    </row>
    <row r="201" ht="30" customHeight="1" spans="1:21">
      <c r="A201" s="7">
        <f>MAX($A$5:A200)+1</f>
        <v>153</v>
      </c>
      <c r="B201" s="7" t="s">
        <v>777</v>
      </c>
      <c r="C201" s="7" t="s">
        <v>820</v>
      </c>
      <c r="D201" s="7" t="s">
        <v>47</v>
      </c>
      <c r="E201" s="7" t="s">
        <v>397</v>
      </c>
      <c r="F201" s="7" t="s">
        <v>343</v>
      </c>
      <c r="G201" s="7" t="s">
        <v>343</v>
      </c>
      <c r="H201" s="7" t="s">
        <v>31</v>
      </c>
      <c r="I201" s="7" t="s">
        <v>821</v>
      </c>
      <c r="J201" s="7" t="s">
        <v>71</v>
      </c>
      <c r="K201" s="7" t="s">
        <v>72</v>
      </c>
      <c r="L201" s="10" t="s">
        <v>73</v>
      </c>
      <c r="M201" s="7">
        <f t="shared" si="4"/>
        <v>70.746</v>
      </c>
      <c r="N201" s="12"/>
      <c r="O201" s="12"/>
      <c r="P201" s="12"/>
      <c r="Q201" s="22">
        <v>70.746</v>
      </c>
      <c r="R201" s="12"/>
      <c r="S201" s="22" t="s">
        <v>822</v>
      </c>
      <c r="T201" s="22"/>
      <c r="U201" s="7" t="s">
        <v>130</v>
      </c>
    </row>
    <row r="202" ht="30" customHeight="1" spans="1:21">
      <c r="A202" s="7">
        <f>MAX($A$5:A201)+1</f>
        <v>154</v>
      </c>
      <c r="B202" s="7" t="s">
        <v>777</v>
      </c>
      <c r="C202" s="7" t="s">
        <v>823</v>
      </c>
      <c r="D202" s="7" t="s">
        <v>28</v>
      </c>
      <c r="E202" s="7" t="s">
        <v>137</v>
      </c>
      <c r="F202" s="7" t="s">
        <v>160</v>
      </c>
      <c r="G202" s="7" t="s">
        <v>160</v>
      </c>
      <c r="H202" s="7" t="s">
        <v>31</v>
      </c>
      <c r="I202" s="7" t="s">
        <v>138</v>
      </c>
      <c r="J202" s="7" t="s">
        <v>71</v>
      </c>
      <c r="K202" s="7" t="s">
        <v>72</v>
      </c>
      <c r="L202" s="10" t="s">
        <v>73</v>
      </c>
      <c r="M202" s="7">
        <f t="shared" si="4"/>
        <v>71.35</v>
      </c>
      <c r="N202" s="12"/>
      <c r="O202" s="12"/>
      <c r="P202" s="12"/>
      <c r="Q202" s="22">
        <v>71.35</v>
      </c>
      <c r="R202" s="11">
        <v>71.35</v>
      </c>
      <c r="S202" s="22"/>
      <c r="T202" s="22" t="s">
        <v>824</v>
      </c>
      <c r="U202" s="7" t="s">
        <v>140</v>
      </c>
    </row>
    <row r="203" ht="30" customHeight="1" spans="1:21">
      <c r="A203" s="7">
        <v>155</v>
      </c>
      <c r="B203" s="7"/>
      <c r="C203" s="7" t="s">
        <v>825</v>
      </c>
      <c r="D203" s="7" t="s">
        <v>28</v>
      </c>
      <c r="E203" s="7" t="s">
        <v>269</v>
      </c>
      <c r="F203" s="7" t="s">
        <v>211</v>
      </c>
      <c r="G203" s="7" t="s">
        <v>30</v>
      </c>
      <c r="H203" s="7" t="s">
        <v>211</v>
      </c>
      <c r="I203" s="7" t="s">
        <v>826</v>
      </c>
      <c r="J203" s="7" t="s">
        <v>71</v>
      </c>
      <c r="K203" s="7" t="s">
        <v>72</v>
      </c>
      <c r="L203" s="10" t="s">
        <v>73</v>
      </c>
      <c r="M203" s="7">
        <f t="shared" si="4"/>
        <v>27.7179</v>
      </c>
      <c r="N203" s="12"/>
      <c r="O203" s="12"/>
      <c r="P203" s="12"/>
      <c r="Q203" s="21">
        <v>27.7179</v>
      </c>
      <c r="R203" s="12">
        <f>22.2606</f>
        <v>22.2606</v>
      </c>
      <c r="S203" s="22"/>
      <c r="T203" s="22"/>
      <c r="U203" s="7" t="s">
        <v>827</v>
      </c>
    </row>
    <row r="204" ht="30" customHeight="1" spans="1:21">
      <c r="A204" s="7"/>
      <c r="B204" s="7"/>
      <c r="C204" s="7" t="s">
        <v>828</v>
      </c>
      <c r="D204" s="7" t="s">
        <v>28</v>
      </c>
      <c r="E204" s="7" t="s">
        <v>829</v>
      </c>
      <c r="F204" s="7" t="s">
        <v>97</v>
      </c>
      <c r="G204" s="7" t="s">
        <v>30</v>
      </c>
      <c r="H204" s="7" t="s">
        <v>97</v>
      </c>
      <c r="I204" s="7" t="s">
        <v>830</v>
      </c>
      <c r="J204" s="7" t="s">
        <v>71</v>
      </c>
      <c r="K204" s="7" t="s">
        <v>72</v>
      </c>
      <c r="L204" s="10" t="s">
        <v>73</v>
      </c>
      <c r="M204" s="7">
        <f t="shared" si="4"/>
        <v>36.7128</v>
      </c>
      <c r="N204" s="12"/>
      <c r="O204" s="12"/>
      <c r="P204" s="12"/>
      <c r="Q204" s="21">
        <v>36.7128</v>
      </c>
      <c r="R204" s="12">
        <f>16.19595</f>
        <v>16.19595</v>
      </c>
      <c r="S204" s="22"/>
      <c r="T204" s="22"/>
      <c r="U204" s="7" t="s">
        <v>827</v>
      </c>
    </row>
    <row r="205" ht="30" customHeight="1" spans="1:21">
      <c r="A205" s="7"/>
      <c r="B205" s="7"/>
      <c r="C205" s="7" t="s">
        <v>831</v>
      </c>
      <c r="D205" s="7" t="s">
        <v>28</v>
      </c>
      <c r="E205" s="7" t="s">
        <v>829</v>
      </c>
      <c r="F205" s="7" t="s">
        <v>219</v>
      </c>
      <c r="G205" s="7" t="s">
        <v>30</v>
      </c>
      <c r="H205" s="7" t="s">
        <v>219</v>
      </c>
      <c r="I205" s="7" t="s">
        <v>832</v>
      </c>
      <c r="J205" s="7" t="s">
        <v>71</v>
      </c>
      <c r="K205" s="7" t="s">
        <v>72</v>
      </c>
      <c r="L205" s="10" t="s">
        <v>73</v>
      </c>
      <c r="M205" s="7">
        <f t="shared" si="4"/>
        <v>77.05205</v>
      </c>
      <c r="N205" s="12"/>
      <c r="O205" s="12"/>
      <c r="P205" s="12"/>
      <c r="Q205" s="21">
        <v>77.05205</v>
      </c>
      <c r="R205" s="12">
        <f>71.7686</f>
        <v>71.7686</v>
      </c>
      <c r="S205" s="22"/>
      <c r="T205" s="22"/>
      <c r="U205" s="7" t="s">
        <v>827</v>
      </c>
    </row>
    <row r="206" ht="30" customHeight="1" spans="1:21">
      <c r="A206" s="7"/>
      <c r="B206" s="7"/>
      <c r="C206" s="7" t="s">
        <v>833</v>
      </c>
      <c r="D206" s="7" t="s">
        <v>28</v>
      </c>
      <c r="E206" s="7" t="s">
        <v>829</v>
      </c>
      <c r="F206" s="7" t="s">
        <v>170</v>
      </c>
      <c r="G206" s="7" t="s">
        <v>30</v>
      </c>
      <c r="H206" s="7" t="s">
        <v>170</v>
      </c>
      <c r="I206" s="7" t="s">
        <v>834</v>
      </c>
      <c r="J206" s="7" t="s">
        <v>71</v>
      </c>
      <c r="K206" s="7" t="s">
        <v>72</v>
      </c>
      <c r="L206" s="10" t="s">
        <v>73</v>
      </c>
      <c r="M206" s="7">
        <f t="shared" si="4"/>
        <v>49.1174</v>
      </c>
      <c r="N206" s="12"/>
      <c r="O206" s="12"/>
      <c r="P206" s="12"/>
      <c r="Q206" s="22">
        <v>49.1174</v>
      </c>
      <c r="R206" s="12">
        <f>44.86211</f>
        <v>44.86211</v>
      </c>
      <c r="S206" s="22"/>
      <c r="T206" s="22"/>
      <c r="U206" s="7" t="s">
        <v>827</v>
      </c>
    </row>
    <row r="207" ht="30" customHeight="1" spans="1:21">
      <c r="A207" s="7"/>
      <c r="B207" s="7"/>
      <c r="C207" s="7" t="s">
        <v>835</v>
      </c>
      <c r="D207" s="7" t="s">
        <v>28</v>
      </c>
      <c r="E207" s="7" t="s">
        <v>829</v>
      </c>
      <c r="F207" s="7" t="s">
        <v>103</v>
      </c>
      <c r="G207" s="7" t="s">
        <v>30</v>
      </c>
      <c r="H207" s="7" t="s">
        <v>103</v>
      </c>
      <c r="I207" s="7" t="s">
        <v>836</v>
      </c>
      <c r="J207" s="7" t="s">
        <v>71</v>
      </c>
      <c r="K207" s="7" t="s">
        <v>72</v>
      </c>
      <c r="L207" s="10" t="s">
        <v>73</v>
      </c>
      <c r="M207" s="7">
        <f t="shared" si="4"/>
        <v>20.95585</v>
      </c>
      <c r="N207" s="12"/>
      <c r="O207" s="12"/>
      <c r="P207" s="12"/>
      <c r="Q207" s="21">
        <v>20.95585</v>
      </c>
      <c r="R207" s="12">
        <f>17.33815</f>
        <v>17.33815</v>
      </c>
      <c r="S207" s="22"/>
      <c r="T207" s="22"/>
      <c r="U207" s="7" t="s">
        <v>827</v>
      </c>
    </row>
    <row r="208" ht="30" customHeight="1" spans="1:21">
      <c r="A208" s="7"/>
      <c r="B208" s="7"/>
      <c r="C208" s="7" t="s">
        <v>837</v>
      </c>
      <c r="D208" s="7" t="s">
        <v>28</v>
      </c>
      <c r="E208" s="7" t="s">
        <v>829</v>
      </c>
      <c r="F208" s="7" t="s">
        <v>49</v>
      </c>
      <c r="G208" s="7" t="s">
        <v>30</v>
      </c>
      <c r="H208" s="7" t="s">
        <v>49</v>
      </c>
      <c r="I208" s="7" t="s">
        <v>838</v>
      </c>
      <c r="J208" s="7" t="s">
        <v>71</v>
      </c>
      <c r="K208" s="7" t="s">
        <v>72</v>
      </c>
      <c r="L208" s="10" t="s">
        <v>73</v>
      </c>
      <c r="M208" s="7">
        <f t="shared" ref="M208:M231" si="5">N208+O208+P208+Q208</f>
        <v>45.4032</v>
      </c>
      <c r="N208" s="12"/>
      <c r="O208" s="12"/>
      <c r="P208" s="12"/>
      <c r="Q208" s="21">
        <v>45.4032</v>
      </c>
      <c r="R208" s="12">
        <f>26.1479</f>
        <v>26.1479</v>
      </c>
      <c r="S208" s="22"/>
      <c r="T208" s="22"/>
      <c r="U208" s="7" t="s">
        <v>827</v>
      </c>
    </row>
    <row r="209" ht="30" customHeight="1" spans="1:21">
      <c r="A209" s="7"/>
      <c r="B209" s="7"/>
      <c r="C209" s="7" t="s">
        <v>839</v>
      </c>
      <c r="D209" s="7" t="s">
        <v>28</v>
      </c>
      <c r="E209" s="7" t="s">
        <v>829</v>
      </c>
      <c r="F209" s="7" t="s">
        <v>77</v>
      </c>
      <c r="G209" s="7" t="s">
        <v>30</v>
      </c>
      <c r="H209" s="7" t="s">
        <v>77</v>
      </c>
      <c r="I209" s="7" t="s">
        <v>840</v>
      </c>
      <c r="J209" s="7" t="s">
        <v>71</v>
      </c>
      <c r="K209" s="7" t="s">
        <v>72</v>
      </c>
      <c r="L209" s="10" t="s">
        <v>73</v>
      </c>
      <c r="M209" s="7">
        <f t="shared" si="5"/>
        <v>2.10545</v>
      </c>
      <c r="N209" s="12"/>
      <c r="O209" s="12"/>
      <c r="P209" s="12"/>
      <c r="Q209" s="21">
        <v>2.10545</v>
      </c>
      <c r="R209" s="12">
        <f>2.10545</f>
        <v>2.10545</v>
      </c>
      <c r="S209" s="22"/>
      <c r="T209" s="22"/>
      <c r="U209" s="7" t="s">
        <v>827</v>
      </c>
    </row>
    <row r="210" ht="30" customHeight="1" spans="1:21">
      <c r="A210" s="7"/>
      <c r="B210" s="7"/>
      <c r="C210" s="7" t="s">
        <v>841</v>
      </c>
      <c r="D210" s="7" t="s">
        <v>28</v>
      </c>
      <c r="E210" s="7" t="s">
        <v>829</v>
      </c>
      <c r="F210" s="7" t="s">
        <v>84</v>
      </c>
      <c r="G210" s="7" t="s">
        <v>30</v>
      </c>
      <c r="H210" s="7" t="s">
        <v>84</v>
      </c>
      <c r="I210" s="7" t="s">
        <v>842</v>
      </c>
      <c r="J210" s="7" t="s">
        <v>71</v>
      </c>
      <c r="K210" s="7" t="s">
        <v>72</v>
      </c>
      <c r="L210" s="10" t="s">
        <v>73</v>
      </c>
      <c r="M210" s="7">
        <f t="shared" si="5"/>
        <v>18.99575</v>
      </c>
      <c r="N210" s="12"/>
      <c r="O210" s="12"/>
      <c r="P210" s="12"/>
      <c r="Q210" s="22">
        <v>18.99575</v>
      </c>
      <c r="R210" s="12">
        <f>15.7527</f>
        <v>15.7527</v>
      </c>
      <c r="S210" s="22"/>
      <c r="T210" s="22"/>
      <c r="U210" s="7" t="s">
        <v>827</v>
      </c>
    </row>
    <row r="211" ht="30" customHeight="1" spans="1:21">
      <c r="A211" s="7"/>
      <c r="B211" s="7"/>
      <c r="C211" s="7" t="s">
        <v>843</v>
      </c>
      <c r="D211" s="7" t="s">
        <v>28</v>
      </c>
      <c r="E211" s="7" t="s">
        <v>829</v>
      </c>
      <c r="F211" s="7" t="s">
        <v>739</v>
      </c>
      <c r="G211" s="7" t="s">
        <v>30</v>
      </c>
      <c r="H211" s="7" t="s">
        <v>739</v>
      </c>
      <c r="I211" s="7" t="s">
        <v>844</v>
      </c>
      <c r="J211" s="7" t="s">
        <v>71</v>
      </c>
      <c r="K211" s="7" t="s">
        <v>72</v>
      </c>
      <c r="L211" s="10" t="s">
        <v>73</v>
      </c>
      <c r="M211" s="7">
        <f t="shared" si="5"/>
        <v>13.112</v>
      </c>
      <c r="N211" s="12"/>
      <c r="O211" s="12"/>
      <c r="P211" s="12"/>
      <c r="Q211" s="21">
        <v>13.112</v>
      </c>
      <c r="R211" s="12">
        <f>8.2046</f>
        <v>8.2046</v>
      </c>
      <c r="S211" s="22"/>
      <c r="T211" s="22"/>
      <c r="U211" s="7" t="s">
        <v>827</v>
      </c>
    </row>
    <row r="212" ht="30" customHeight="1" spans="1:21">
      <c r="A212" s="7"/>
      <c r="B212" s="7"/>
      <c r="C212" s="7" t="s">
        <v>845</v>
      </c>
      <c r="D212" s="7" t="s">
        <v>28</v>
      </c>
      <c r="E212" s="7" t="s">
        <v>829</v>
      </c>
      <c r="F212" s="7" t="s">
        <v>90</v>
      </c>
      <c r="G212" s="7" t="s">
        <v>30</v>
      </c>
      <c r="H212" s="7" t="s">
        <v>90</v>
      </c>
      <c r="I212" s="7" t="s">
        <v>846</v>
      </c>
      <c r="J212" s="7" t="s">
        <v>71</v>
      </c>
      <c r="K212" s="7" t="s">
        <v>72</v>
      </c>
      <c r="L212" s="10" t="s">
        <v>73</v>
      </c>
      <c r="M212" s="7">
        <f t="shared" si="5"/>
        <v>5.135</v>
      </c>
      <c r="N212" s="12"/>
      <c r="O212" s="12"/>
      <c r="P212" s="12"/>
      <c r="Q212" s="21">
        <v>5.135</v>
      </c>
      <c r="R212" s="12">
        <f>5.135</f>
        <v>5.135</v>
      </c>
      <c r="S212" s="22"/>
      <c r="T212" s="22"/>
      <c r="U212" s="7" t="s">
        <v>827</v>
      </c>
    </row>
    <row r="213" ht="30" customHeight="1" spans="1:21">
      <c r="A213" s="7"/>
      <c r="B213" s="7"/>
      <c r="C213" s="7" t="s">
        <v>847</v>
      </c>
      <c r="D213" s="7" t="s">
        <v>28</v>
      </c>
      <c r="E213" s="7" t="s">
        <v>829</v>
      </c>
      <c r="F213" s="7" t="s">
        <v>60</v>
      </c>
      <c r="G213" s="7" t="s">
        <v>30</v>
      </c>
      <c r="H213" s="7" t="s">
        <v>60</v>
      </c>
      <c r="I213" s="7" t="s">
        <v>848</v>
      </c>
      <c r="J213" s="7" t="s">
        <v>71</v>
      </c>
      <c r="K213" s="7" t="s">
        <v>72</v>
      </c>
      <c r="L213" s="10" t="s">
        <v>73</v>
      </c>
      <c r="M213" s="7">
        <f t="shared" si="5"/>
        <v>48.4672</v>
      </c>
      <c r="N213" s="12"/>
      <c r="O213" s="12"/>
      <c r="P213" s="12"/>
      <c r="Q213" s="22">
        <v>48.4672</v>
      </c>
      <c r="R213" s="12">
        <f>39.8669</f>
        <v>39.8669</v>
      </c>
      <c r="S213" s="22"/>
      <c r="T213" s="22"/>
      <c r="U213" s="7" t="s">
        <v>827</v>
      </c>
    </row>
    <row r="214" ht="30" customHeight="1" spans="1:21">
      <c r="A214" s="7"/>
      <c r="B214" s="7"/>
      <c r="C214" s="7" t="s">
        <v>849</v>
      </c>
      <c r="D214" s="7" t="s">
        <v>28</v>
      </c>
      <c r="E214" s="7" t="s">
        <v>829</v>
      </c>
      <c r="F214" s="7" t="s">
        <v>216</v>
      </c>
      <c r="G214" s="7" t="s">
        <v>30</v>
      </c>
      <c r="H214" s="7" t="s">
        <v>216</v>
      </c>
      <c r="I214" s="7" t="s">
        <v>850</v>
      </c>
      <c r="J214" s="7" t="s">
        <v>71</v>
      </c>
      <c r="K214" s="7" t="s">
        <v>72</v>
      </c>
      <c r="L214" s="10" t="s">
        <v>73</v>
      </c>
      <c r="M214" s="7">
        <f t="shared" si="5"/>
        <v>12.24</v>
      </c>
      <c r="N214" s="12"/>
      <c r="O214" s="12"/>
      <c r="P214" s="12"/>
      <c r="Q214" s="21">
        <v>12.24</v>
      </c>
      <c r="R214" s="12">
        <f>11.04</f>
        <v>11.04</v>
      </c>
      <c r="S214" s="22"/>
      <c r="T214" s="22"/>
      <c r="U214" s="7" t="s">
        <v>827</v>
      </c>
    </row>
    <row r="215" ht="30" customHeight="1" spans="1:21">
      <c r="A215" s="7"/>
      <c r="B215" s="7"/>
      <c r="C215" s="7" t="s">
        <v>851</v>
      </c>
      <c r="D215" s="7" t="s">
        <v>28</v>
      </c>
      <c r="E215" s="7" t="s">
        <v>829</v>
      </c>
      <c r="F215" s="7" t="s">
        <v>200</v>
      </c>
      <c r="G215" s="7" t="s">
        <v>30</v>
      </c>
      <c r="H215" s="7" t="s">
        <v>200</v>
      </c>
      <c r="I215" s="7" t="s">
        <v>852</v>
      </c>
      <c r="J215" s="7" t="s">
        <v>71</v>
      </c>
      <c r="K215" s="7" t="s">
        <v>72</v>
      </c>
      <c r="L215" s="10" t="s">
        <v>73</v>
      </c>
      <c r="M215" s="7">
        <f t="shared" si="5"/>
        <v>26.6478</v>
      </c>
      <c r="N215" s="12"/>
      <c r="O215" s="12"/>
      <c r="P215" s="12"/>
      <c r="Q215" s="21">
        <v>26.6478</v>
      </c>
      <c r="R215" s="12">
        <f>24.5797</f>
        <v>24.5797</v>
      </c>
      <c r="S215" s="22"/>
      <c r="T215" s="22"/>
      <c r="U215" s="7" t="s">
        <v>827</v>
      </c>
    </row>
    <row r="216" ht="30" customHeight="1" spans="1:21">
      <c r="A216" s="7"/>
      <c r="B216" s="7"/>
      <c r="C216" s="7" t="s">
        <v>853</v>
      </c>
      <c r="D216" s="7" t="s">
        <v>28</v>
      </c>
      <c r="E216" s="7" t="s">
        <v>829</v>
      </c>
      <c r="F216" s="7" t="s">
        <v>109</v>
      </c>
      <c r="G216" s="7" t="s">
        <v>30</v>
      </c>
      <c r="H216" s="7" t="s">
        <v>109</v>
      </c>
      <c r="I216" s="7" t="s">
        <v>854</v>
      </c>
      <c r="J216" s="7" t="s">
        <v>71</v>
      </c>
      <c r="K216" s="7" t="s">
        <v>72</v>
      </c>
      <c r="L216" s="10" t="s">
        <v>73</v>
      </c>
      <c r="M216" s="7">
        <f t="shared" si="5"/>
        <v>41.4317</v>
      </c>
      <c r="N216" s="12"/>
      <c r="O216" s="12"/>
      <c r="P216" s="12"/>
      <c r="Q216" s="22">
        <v>41.4317</v>
      </c>
      <c r="R216" s="12">
        <f>36.7947</f>
        <v>36.7947</v>
      </c>
      <c r="S216" s="22"/>
      <c r="T216" s="22"/>
      <c r="U216" s="7" t="s">
        <v>827</v>
      </c>
    </row>
    <row r="217" ht="30" customHeight="1" spans="1:21">
      <c r="A217" s="7"/>
      <c r="B217" s="7"/>
      <c r="C217" s="7" t="s">
        <v>855</v>
      </c>
      <c r="D217" s="7" t="s">
        <v>28</v>
      </c>
      <c r="E217" s="7" t="s">
        <v>829</v>
      </c>
      <c r="F217" s="7" t="s">
        <v>197</v>
      </c>
      <c r="G217" s="7" t="s">
        <v>30</v>
      </c>
      <c r="H217" s="7" t="s">
        <v>197</v>
      </c>
      <c r="I217" s="7" t="s">
        <v>856</v>
      </c>
      <c r="J217" s="7" t="s">
        <v>71</v>
      </c>
      <c r="K217" s="7" t="s">
        <v>72</v>
      </c>
      <c r="L217" s="10" t="s">
        <v>73</v>
      </c>
      <c r="M217" s="7">
        <f t="shared" si="5"/>
        <v>18.82925</v>
      </c>
      <c r="N217" s="12"/>
      <c r="O217" s="12"/>
      <c r="P217" s="12"/>
      <c r="Q217" s="21">
        <v>18.82925</v>
      </c>
      <c r="R217" s="12">
        <f>18.82925</f>
        <v>18.82925</v>
      </c>
      <c r="S217" s="22"/>
      <c r="T217" s="22"/>
      <c r="U217" s="7" t="s">
        <v>827</v>
      </c>
    </row>
    <row r="218" ht="30" customHeight="1" spans="1:21">
      <c r="A218" s="7"/>
      <c r="B218" s="7"/>
      <c r="C218" s="7" t="s">
        <v>857</v>
      </c>
      <c r="D218" s="7" t="s">
        <v>28</v>
      </c>
      <c r="E218" s="7" t="s">
        <v>829</v>
      </c>
      <c r="F218" s="7" t="s">
        <v>636</v>
      </c>
      <c r="G218" s="7" t="s">
        <v>30</v>
      </c>
      <c r="H218" s="7" t="s">
        <v>636</v>
      </c>
      <c r="I218" s="7" t="s">
        <v>858</v>
      </c>
      <c r="J218" s="7" t="s">
        <v>71</v>
      </c>
      <c r="K218" s="7" t="s">
        <v>72</v>
      </c>
      <c r="L218" s="10" t="s">
        <v>73</v>
      </c>
      <c r="M218" s="7">
        <f t="shared" si="5"/>
        <v>3.8691</v>
      </c>
      <c r="N218" s="12"/>
      <c r="O218" s="12"/>
      <c r="P218" s="12"/>
      <c r="Q218" s="21">
        <v>3.8691</v>
      </c>
      <c r="R218" s="12"/>
      <c r="S218" s="22"/>
      <c r="T218" s="22"/>
      <c r="U218" s="7" t="s">
        <v>827</v>
      </c>
    </row>
    <row r="219" ht="30" customHeight="1" spans="1:21">
      <c r="A219" s="7"/>
      <c r="B219" s="7"/>
      <c r="C219" s="7" t="s">
        <v>859</v>
      </c>
      <c r="D219" s="7" t="s">
        <v>28</v>
      </c>
      <c r="E219" s="7" t="s">
        <v>829</v>
      </c>
      <c r="F219" s="7" t="s">
        <v>163</v>
      </c>
      <c r="G219" s="7" t="s">
        <v>30</v>
      </c>
      <c r="H219" s="7" t="s">
        <v>163</v>
      </c>
      <c r="I219" s="7" t="s">
        <v>860</v>
      </c>
      <c r="J219" s="7" t="s">
        <v>71</v>
      </c>
      <c r="K219" s="7" t="s">
        <v>72</v>
      </c>
      <c r="L219" s="10" t="s">
        <v>73</v>
      </c>
      <c r="M219" s="7">
        <f t="shared" si="5"/>
        <v>39.7282</v>
      </c>
      <c r="N219" s="12"/>
      <c r="O219" s="12"/>
      <c r="P219" s="12"/>
      <c r="Q219" s="21">
        <v>39.7282</v>
      </c>
      <c r="R219" s="12">
        <f>27.943</f>
        <v>27.943</v>
      </c>
      <c r="S219" s="22"/>
      <c r="T219" s="22"/>
      <c r="U219" s="7" t="s">
        <v>827</v>
      </c>
    </row>
    <row r="220" ht="30" customHeight="1" spans="1:21">
      <c r="A220" s="7"/>
      <c r="B220" s="7"/>
      <c r="C220" s="7" t="s">
        <v>861</v>
      </c>
      <c r="D220" s="7" t="s">
        <v>28</v>
      </c>
      <c r="E220" s="7" t="s">
        <v>829</v>
      </c>
      <c r="F220" s="7" t="s">
        <v>67</v>
      </c>
      <c r="G220" s="7" t="s">
        <v>30</v>
      </c>
      <c r="H220" s="7" t="s">
        <v>67</v>
      </c>
      <c r="I220" s="7" t="s">
        <v>862</v>
      </c>
      <c r="J220" s="7" t="s">
        <v>71</v>
      </c>
      <c r="K220" s="7" t="s">
        <v>72</v>
      </c>
      <c r="L220" s="10" t="s">
        <v>73</v>
      </c>
      <c r="M220" s="7">
        <f t="shared" si="5"/>
        <v>105.0421</v>
      </c>
      <c r="N220" s="12"/>
      <c r="O220" s="12"/>
      <c r="P220" s="12"/>
      <c r="Q220" s="21">
        <v>105.0421</v>
      </c>
      <c r="R220" s="12">
        <f>79.2246+8.211</f>
        <v>87.4356</v>
      </c>
      <c r="S220" s="22"/>
      <c r="T220" s="22"/>
      <c r="U220" s="7" t="s">
        <v>827</v>
      </c>
    </row>
    <row r="221" ht="30" customHeight="1" spans="1:21">
      <c r="A221" s="7"/>
      <c r="B221" s="7"/>
      <c r="C221" s="7" t="s">
        <v>863</v>
      </c>
      <c r="D221" s="7" t="s">
        <v>28</v>
      </c>
      <c r="E221" s="7" t="s">
        <v>829</v>
      </c>
      <c r="F221" s="7" t="s">
        <v>224</v>
      </c>
      <c r="G221" s="7" t="s">
        <v>30</v>
      </c>
      <c r="H221" s="7" t="s">
        <v>224</v>
      </c>
      <c r="I221" s="7" t="s">
        <v>864</v>
      </c>
      <c r="J221" s="7" t="s">
        <v>71</v>
      </c>
      <c r="K221" s="7" t="s">
        <v>72</v>
      </c>
      <c r="L221" s="10" t="s">
        <v>73</v>
      </c>
      <c r="M221" s="7">
        <f t="shared" si="5"/>
        <v>15.9776</v>
      </c>
      <c r="N221" s="12"/>
      <c r="O221" s="12"/>
      <c r="P221" s="12"/>
      <c r="Q221" s="21">
        <v>15.9776</v>
      </c>
      <c r="R221" s="12">
        <f>15.9776</f>
        <v>15.9776</v>
      </c>
      <c r="S221" s="22"/>
      <c r="T221" s="22"/>
      <c r="U221" s="7" t="s">
        <v>827</v>
      </c>
    </row>
    <row r="222" ht="30" customHeight="1" spans="1:21">
      <c r="A222" s="7"/>
      <c r="B222" s="7"/>
      <c r="C222" s="7" t="s">
        <v>865</v>
      </c>
      <c r="D222" s="7" t="s">
        <v>28</v>
      </c>
      <c r="E222" s="7" t="s">
        <v>829</v>
      </c>
      <c r="F222" s="7" t="s">
        <v>177</v>
      </c>
      <c r="G222" s="7" t="s">
        <v>30</v>
      </c>
      <c r="H222" s="7" t="s">
        <v>177</v>
      </c>
      <c r="I222" s="7" t="s">
        <v>866</v>
      </c>
      <c r="J222" s="7" t="s">
        <v>71</v>
      </c>
      <c r="K222" s="7" t="s">
        <v>72</v>
      </c>
      <c r="L222" s="10" t="s">
        <v>73</v>
      </c>
      <c r="M222" s="7">
        <f t="shared" si="5"/>
        <v>8.8003</v>
      </c>
      <c r="N222" s="12"/>
      <c r="O222" s="12"/>
      <c r="P222" s="12"/>
      <c r="Q222" s="21">
        <v>8.8003</v>
      </c>
      <c r="R222" s="12">
        <f>7.15105</f>
        <v>7.15105</v>
      </c>
      <c r="S222" s="22"/>
      <c r="T222" s="22"/>
      <c r="U222" s="7" t="s">
        <v>827</v>
      </c>
    </row>
    <row r="223" ht="30" customHeight="1" spans="1:21">
      <c r="A223" s="7"/>
      <c r="B223" s="7"/>
      <c r="C223" s="7" t="s">
        <v>867</v>
      </c>
      <c r="D223" s="7" t="s">
        <v>28</v>
      </c>
      <c r="E223" s="7" t="s">
        <v>829</v>
      </c>
      <c r="F223" s="7" t="s">
        <v>187</v>
      </c>
      <c r="G223" s="7" t="s">
        <v>30</v>
      </c>
      <c r="H223" s="7" t="s">
        <v>187</v>
      </c>
      <c r="I223" s="7" t="s">
        <v>868</v>
      </c>
      <c r="J223" s="7" t="s">
        <v>71</v>
      </c>
      <c r="K223" s="7" t="s">
        <v>72</v>
      </c>
      <c r="L223" s="10" t="s">
        <v>73</v>
      </c>
      <c r="M223" s="7">
        <f t="shared" si="5"/>
        <v>60.84495</v>
      </c>
      <c r="N223" s="12"/>
      <c r="O223" s="12"/>
      <c r="P223" s="12"/>
      <c r="Q223" s="21">
        <v>60.84495</v>
      </c>
      <c r="R223" s="12">
        <f>42.64495</f>
        <v>42.64495</v>
      </c>
      <c r="S223" s="22"/>
      <c r="T223" s="22"/>
      <c r="U223" s="7" t="s">
        <v>827</v>
      </c>
    </row>
    <row r="224" ht="30" customHeight="1" spans="1:21">
      <c r="A224" s="7"/>
      <c r="B224" s="7"/>
      <c r="C224" s="7" t="s">
        <v>869</v>
      </c>
      <c r="D224" s="7" t="s">
        <v>28</v>
      </c>
      <c r="E224" s="7" t="s">
        <v>829</v>
      </c>
      <c r="F224" s="7" t="s">
        <v>41</v>
      </c>
      <c r="G224" s="7" t="s">
        <v>30</v>
      </c>
      <c r="H224" s="7" t="s">
        <v>41</v>
      </c>
      <c r="I224" s="7" t="s">
        <v>870</v>
      </c>
      <c r="J224" s="7" t="s">
        <v>71</v>
      </c>
      <c r="K224" s="7" t="s">
        <v>72</v>
      </c>
      <c r="L224" s="10" t="s">
        <v>73</v>
      </c>
      <c r="M224" s="7">
        <f t="shared" si="5"/>
        <v>40.43919</v>
      </c>
      <c r="N224" s="12"/>
      <c r="O224" s="12"/>
      <c r="P224" s="12"/>
      <c r="Q224" s="21">
        <v>40.43919</v>
      </c>
      <c r="R224" s="12">
        <f>26.61704</f>
        <v>26.61704</v>
      </c>
      <c r="S224" s="22"/>
      <c r="T224" s="22"/>
      <c r="U224" s="7" t="s">
        <v>827</v>
      </c>
    </row>
    <row r="225" ht="50" customHeight="1" spans="1:21">
      <c r="A225" s="7">
        <f>MAX($A$5:A224)+1</f>
        <v>156</v>
      </c>
      <c r="B225" s="7" t="s">
        <v>871</v>
      </c>
      <c r="C225" s="7" t="s">
        <v>872</v>
      </c>
      <c r="D225" s="7" t="s">
        <v>28</v>
      </c>
      <c r="E225" s="7" t="s">
        <v>137</v>
      </c>
      <c r="F225" s="7" t="s">
        <v>150</v>
      </c>
      <c r="G225" s="7" t="s">
        <v>150</v>
      </c>
      <c r="H225" s="7" t="s">
        <v>31</v>
      </c>
      <c r="I225" s="7" t="s">
        <v>138</v>
      </c>
      <c r="J225" s="7" t="s">
        <v>33</v>
      </c>
      <c r="K225" s="7" t="s">
        <v>873</v>
      </c>
      <c r="L225" s="10" t="s">
        <v>35</v>
      </c>
      <c r="M225" s="7">
        <f t="shared" si="5"/>
        <v>25.499851</v>
      </c>
      <c r="N225" s="12">
        <v>25.499851</v>
      </c>
      <c r="O225" s="12"/>
      <c r="P225" s="12"/>
      <c r="Q225" s="12"/>
      <c r="R225" s="12"/>
      <c r="S225" s="18"/>
      <c r="T225" s="7" t="s">
        <v>874</v>
      </c>
      <c r="U225" s="7" t="s">
        <v>140</v>
      </c>
    </row>
    <row r="226" ht="33.75" spans="1:21">
      <c r="A226" s="7"/>
      <c r="B226" s="7"/>
      <c r="C226" s="7" t="s">
        <v>875</v>
      </c>
      <c r="D226" s="7" t="s">
        <v>28</v>
      </c>
      <c r="E226" s="7" t="s">
        <v>137</v>
      </c>
      <c r="F226" s="7" t="s">
        <v>150</v>
      </c>
      <c r="G226" s="7" t="s">
        <v>150</v>
      </c>
      <c r="H226" s="7" t="s">
        <v>31</v>
      </c>
      <c r="I226" s="7" t="s">
        <v>138</v>
      </c>
      <c r="J226" s="7" t="s">
        <v>52</v>
      </c>
      <c r="K226" s="7" t="s">
        <v>53</v>
      </c>
      <c r="L226" s="10" t="s">
        <v>54</v>
      </c>
      <c r="M226" s="7">
        <f t="shared" si="5"/>
        <v>4.000801</v>
      </c>
      <c r="N226" s="12"/>
      <c r="O226" s="12">
        <v>4.000801</v>
      </c>
      <c r="P226" s="12"/>
      <c r="Q226" s="12"/>
      <c r="R226" s="12"/>
      <c r="S226" s="18"/>
      <c r="T226" s="7" t="s">
        <v>874</v>
      </c>
      <c r="U226" s="7" t="s">
        <v>140</v>
      </c>
    </row>
    <row r="227" ht="23" customHeight="1" spans="1:21">
      <c r="A227" s="7"/>
      <c r="B227" s="7"/>
      <c r="C227" s="7" t="s">
        <v>876</v>
      </c>
      <c r="D227" s="7" t="s">
        <v>28</v>
      </c>
      <c r="E227" s="7" t="s">
        <v>137</v>
      </c>
      <c r="F227" s="7" t="s">
        <v>150</v>
      </c>
      <c r="G227" s="7" t="s">
        <v>150</v>
      </c>
      <c r="H227" s="7" t="s">
        <v>31</v>
      </c>
      <c r="I227" s="7" t="s">
        <v>138</v>
      </c>
      <c r="J227" s="7" t="s">
        <v>52</v>
      </c>
      <c r="K227" s="7" t="s">
        <v>522</v>
      </c>
      <c r="L227" s="10" t="s">
        <v>54</v>
      </c>
      <c r="M227" s="7">
        <f t="shared" si="5"/>
        <v>0.54</v>
      </c>
      <c r="N227" s="12"/>
      <c r="O227" s="12">
        <v>0.54</v>
      </c>
      <c r="P227" s="12"/>
      <c r="Q227" s="12"/>
      <c r="R227" s="12"/>
      <c r="S227" s="18"/>
      <c r="T227" s="7" t="s">
        <v>874</v>
      </c>
      <c r="U227" s="7" t="s">
        <v>140</v>
      </c>
    </row>
    <row r="228" ht="23" customHeight="1" spans="1:21">
      <c r="A228" s="7"/>
      <c r="B228" s="7"/>
      <c r="C228" s="7" t="s">
        <v>877</v>
      </c>
      <c r="D228" s="7" t="s">
        <v>28</v>
      </c>
      <c r="E228" s="7" t="s">
        <v>137</v>
      </c>
      <c r="F228" s="7" t="s">
        <v>150</v>
      </c>
      <c r="G228" s="7" t="s">
        <v>150</v>
      </c>
      <c r="H228" s="7" t="s">
        <v>31</v>
      </c>
      <c r="I228" s="7" t="s">
        <v>138</v>
      </c>
      <c r="J228" s="7" t="s">
        <v>33</v>
      </c>
      <c r="K228" s="7" t="s">
        <v>522</v>
      </c>
      <c r="L228" s="10" t="s">
        <v>35</v>
      </c>
      <c r="M228" s="7">
        <f t="shared" si="5"/>
        <v>0.478</v>
      </c>
      <c r="N228" s="12">
        <v>0.478</v>
      </c>
      <c r="O228" s="12"/>
      <c r="P228" s="12"/>
      <c r="Q228" s="12"/>
      <c r="R228" s="12"/>
      <c r="S228" s="18"/>
      <c r="T228" s="7" t="s">
        <v>874</v>
      </c>
      <c r="U228" s="7" t="s">
        <v>140</v>
      </c>
    </row>
    <row r="229" ht="33.75" spans="1:21">
      <c r="A229" s="7"/>
      <c r="B229" s="7"/>
      <c r="C229" s="7" t="s">
        <v>878</v>
      </c>
      <c r="D229" s="7" t="s">
        <v>28</v>
      </c>
      <c r="E229" s="7" t="s">
        <v>137</v>
      </c>
      <c r="F229" s="7" t="s">
        <v>150</v>
      </c>
      <c r="G229" s="7" t="s">
        <v>150</v>
      </c>
      <c r="H229" s="7" t="s">
        <v>31</v>
      </c>
      <c r="I229" s="7" t="s">
        <v>138</v>
      </c>
      <c r="J229" s="7" t="s">
        <v>144</v>
      </c>
      <c r="K229" s="7" t="s">
        <v>151</v>
      </c>
      <c r="L229" s="10" t="s">
        <v>146</v>
      </c>
      <c r="M229" s="7">
        <f t="shared" si="5"/>
        <v>2.5491</v>
      </c>
      <c r="N229" s="12"/>
      <c r="O229" s="12"/>
      <c r="P229" s="12">
        <v>2.5491</v>
      </c>
      <c r="Q229" s="12"/>
      <c r="R229" s="12"/>
      <c r="S229" s="18"/>
      <c r="T229" s="7" t="s">
        <v>874</v>
      </c>
      <c r="U229" s="7" t="s">
        <v>140</v>
      </c>
    </row>
    <row r="230" ht="33.75" spans="1:21">
      <c r="A230" s="7"/>
      <c r="B230" s="7"/>
      <c r="C230" s="7" t="s">
        <v>879</v>
      </c>
      <c r="D230" s="7" t="s">
        <v>28</v>
      </c>
      <c r="E230" s="7" t="s">
        <v>137</v>
      </c>
      <c r="F230" s="7" t="s">
        <v>150</v>
      </c>
      <c r="G230" s="7" t="s">
        <v>150</v>
      </c>
      <c r="H230" s="7" t="s">
        <v>31</v>
      </c>
      <c r="I230" s="7" t="s">
        <v>138</v>
      </c>
      <c r="J230" s="7" t="s">
        <v>144</v>
      </c>
      <c r="K230" s="7" t="s">
        <v>145</v>
      </c>
      <c r="L230" s="10" t="s">
        <v>146</v>
      </c>
      <c r="M230" s="7">
        <f t="shared" si="5"/>
        <v>2.3807</v>
      </c>
      <c r="N230" s="12"/>
      <c r="O230" s="12"/>
      <c r="P230" s="12">
        <v>2.3807</v>
      </c>
      <c r="Q230" s="12"/>
      <c r="R230" s="12"/>
      <c r="S230" s="18"/>
      <c r="T230" s="7" t="s">
        <v>874</v>
      </c>
      <c r="U230" s="7" t="s">
        <v>140</v>
      </c>
    </row>
    <row r="231" ht="33.75" spans="1:21">
      <c r="A231" s="7"/>
      <c r="B231" s="7"/>
      <c r="C231" s="7" t="s">
        <v>880</v>
      </c>
      <c r="D231" s="7" t="s">
        <v>28</v>
      </c>
      <c r="E231" s="7" t="s">
        <v>137</v>
      </c>
      <c r="F231" s="7" t="s">
        <v>150</v>
      </c>
      <c r="G231" s="7" t="s">
        <v>150</v>
      </c>
      <c r="H231" s="7" t="s">
        <v>31</v>
      </c>
      <c r="I231" s="7" t="s">
        <v>138</v>
      </c>
      <c r="J231" s="7" t="s">
        <v>71</v>
      </c>
      <c r="K231" s="7" t="s">
        <v>72</v>
      </c>
      <c r="L231" s="10" t="s">
        <v>73</v>
      </c>
      <c r="M231" s="7">
        <f t="shared" si="5"/>
        <v>8.851548</v>
      </c>
      <c r="N231" s="12"/>
      <c r="O231" s="12"/>
      <c r="P231" s="12"/>
      <c r="Q231" s="12">
        <v>8.851548</v>
      </c>
      <c r="R231" s="12"/>
      <c r="S231" s="18"/>
      <c r="T231" s="7" t="s">
        <v>874</v>
      </c>
      <c r="U231" s="7" t="s">
        <v>140</v>
      </c>
    </row>
    <row r="232" ht="44" customHeight="1" spans="1:21">
      <c r="A232" s="7">
        <f>MAX($A$5:A231)+1</f>
        <v>157</v>
      </c>
      <c r="B232" s="23" t="s">
        <v>881</v>
      </c>
      <c r="C232" s="7" t="s">
        <v>882</v>
      </c>
      <c r="D232" s="7" t="s">
        <v>28</v>
      </c>
      <c r="E232" s="7" t="s">
        <v>142</v>
      </c>
      <c r="F232" s="7" t="s">
        <v>219</v>
      </c>
      <c r="G232" s="7" t="s">
        <v>178</v>
      </c>
      <c r="H232" s="7" t="s">
        <v>219</v>
      </c>
      <c r="I232" s="7" t="s">
        <v>883</v>
      </c>
      <c r="J232" s="7" t="s">
        <v>52</v>
      </c>
      <c r="K232" s="7" t="s">
        <v>53</v>
      </c>
      <c r="L232" s="10" t="s">
        <v>54</v>
      </c>
      <c r="M232" s="7">
        <f t="shared" ref="M232:M239" si="6">N232+O232+P232+Q232</f>
        <v>0.9509</v>
      </c>
      <c r="N232" s="12"/>
      <c r="O232" s="7">
        <v>0.9509</v>
      </c>
      <c r="P232" s="12"/>
      <c r="Q232" s="12"/>
      <c r="R232" s="12"/>
      <c r="S232" s="7"/>
      <c r="T232" s="7"/>
      <c r="U232" s="7" t="s">
        <v>182</v>
      </c>
    </row>
    <row r="233" ht="44" customHeight="1" spans="1:21">
      <c r="A233" s="7">
        <f>MAX($A$5:A232)+1</f>
        <v>158</v>
      </c>
      <c r="B233" s="23" t="s">
        <v>881</v>
      </c>
      <c r="C233" s="7" t="s">
        <v>884</v>
      </c>
      <c r="D233" s="7" t="s">
        <v>28</v>
      </c>
      <c r="E233" s="7" t="s">
        <v>829</v>
      </c>
      <c r="F233" s="7" t="s">
        <v>84</v>
      </c>
      <c r="G233" s="7" t="s">
        <v>30</v>
      </c>
      <c r="H233" s="7" t="s">
        <v>84</v>
      </c>
      <c r="I233" s="7" t="s">
        <v>885</v>
      </c>
      <c r="J233" s="7" t="s">
        <v>52</v>
      </c>
      <c r="K233" s="7" t="s">
        <v>53</v>
      </c>
      <c r="L233" s="10" t="s">
        <v>54</v>
      </c>
      <c r="M233" s="7">
        <f t="shared" si="6"/>
        <v>0.4863</v>
      </c>
      <c r="N233" s="12"/>
      <c r="O233" s="7">
        <v>0.4863</v>
      </c>
      <c r="P233" s="12"/>
      <c r="Q233" s="12"/>
      <c r="R233" s="12"/>
      <c r="S233" s="7"/>
      <c r="T233" s="7"/>
      <c r="U233" s="7" t="s">
        <v>827</v>
      </c>
    </row>
    <row r="234" ht="44" customHeight="1" spans="1:21">
      <c r="A234" s="7">
        <f>MAX($A$5:A233)+1</f>
        <v>159</v>
      </c>
      <c r="B234" s="23" t="s">
        <v>881</v>
      </c>
      <c r="C234" s="7" t="s">
        <v>884</v>
      </c>
      <c r="D234" s="7" t="s">
        <v>28</v>
      </c>
      <c r="E234" s="7" t="s">
        <v>829</v>
      </c>
      <c r="F234" s="7" t="s">
        <v>109</v>
      </c>
      <c r="G234" s="7" t="s">
        <v>30</v>
      </c>
      <c r="H234" s="7" t="s">
        <v>109</v>
      </c>
      <c r="I234" s="7" t="s">
        <v>885</v>
      </c>
      <c r="J234" s="7" t="s">
        <v>52</v>
      </c>
      <c r="K234" s="7" t="s">
        <v>53</v>
      </c>
      <c r="L234" s="10" t="s">
        <v>54</v>
      </c>
      <c r="M234" s="7">
        <f t="shared" si="6"/>
        <v>1.244</v>
      </c>
      <c r="N234" s="12"/>
      <c r="O234" s="7">
        <v>1.244</v>
      </c>
      <c r="P234" s="12"/>
      <c r="Q234" s="12"/>
      <c r="R234" s="12"/>
      <c r="S234" s="7"/>
      <c r="T234" s="7"/>
      <c r="U234" s="7" t="s">
        <v>827</v>
      </c>
    </row>
    <row r="235" ht="44" customHeight="1" spans="1:21">
      <c r="A235" s="7">
        <f>MAX($A$5:A234)+1</f>
        <v>160</v>
      </c>
      <c r="B235" s="23" t="s">
        <v>881</v>
      </c>
      <c r="C235" s="7" t="s">
        <v>886</v>
      </c>
      <c r="D235" s="7" t="s">
        <v>28</v>
      </c>
      <c r="E235" s="7" t="s">
        <v>746</v>
      </c>
      <c r="F235" s="7" t="s">
        <v>157</v>
      </c>
      <c r="G235" s="7" t="s">
        <v>157</v>
      </c>
      <c r="H235" s="7" t="s">
        <v>31</v>
      </c>
      <c r="I235" s="7" t="s">
        <v>887</v>
      </c>
      <c r="J235" s="7" t="s">
        <v>52</v>
      </c>
      <c r="K235" s="7" t="s">
        <v>53</v>
      </c>
      <c r="L235" s="10" t="s">
        <v>54</v>
      </c>
      <c r="M235" s="7">
        <f t="shared" si="6"/>
        <v>74.8507</v>
      </c>
      <c r="N235" s="12"/>
      <c r="O235" s="7">
        <v>74.8507</v>
      </c>
      <c r="P235" s="12"/>
      <c r="Q235" s="12"/>
      <c r="R235" s="12"/>
      <c r="S235" s="7"/>
      <c r="T235" s="7" t="s">
        <v>888</v>
      </c>
      <c r="U235" s="7" t="s">
        <v>130</v>
      </c>
    </row>
    <row r="236" ht="44" customHeight="1" spans="1:21">
      <c r="A236" s="7">
        <f>MAX($A$5:A235)+1</f>
        <v>161</v>
      </c>
      <c r="B236" s="23" t="s">
        <v>881</v>
      </c>
      <c r="C236" s="7" t="s">
        <v>889</v>
      </c>
      <c r="D236" s="7" t="s">
        <v>47</v>
      </c>
      <c r="E236" s="7" t="s">
        <v>397</v>
      </c>
      <c r="F236" s="7" t="s">
        <v>343</v>
      </c>
      <c r="G236" s="7" t="s">
        <v>343</v>
      </c>
      <c r="H236" s="7" t="s">
        <v>31</v>
      </c>
      <c r="I236" s="7" t="s">
        <v>890</v>
      </c>
      <c r="J236" s="7" t="s">
        <v>52</v>
      </c>
      <c r="K236" s="7" t="s">
        <v>53</v>
      </c>
      <c r="L236" s="10" t="s">
        <v>54</v>
      </c>
      <c r="M236" s="7">
        <f t="shared" si="6"/>
        <v>1.74</v>
      </c>
      <c r="N236" s="12"/>
      <c r="O236" s="7">
        <v>1.74</v>
      </c>
      <c r="P236" s="12"/>
      <c r="Q236" s="12"/>
      <c r="R236" s="12"/>
      <c r="S236" s="7"/>
      <c r="T236" s="7" t="s">
        <v>891</v>
      </c>
      <c r="U236" s="7" t="s">
        <v>130</v>
      </c>
    </row>
    <row r="237" ht="33.75" spans="1:21">
      <c r="A237" s="7">
        <f>MAX($A$5:A236)+1</f>
        <v>162</v>
      </c>
      <c r="B237" s="23" t="s">
        <v>881</v>
      </c>
      <c r="C237" s="7" t="s">
        <v>892</v>
      </c>
      <c r="D237" s="7" t="s">
        <v>28</v>
      </c>
      <c r="E237" s="7" t="s">
        <v>137</v>
      </c>
      <c r="F237" s="7" t="s">
        <v>150</v>
      </c>
      <c r="G237" s="7" t="s">
        <v>150</v>
      </c>
      <c r="H237" s="7" t="s">
        <v>31</v>
      </c>
      <c r="I237" s="7" t="s">
        <v>138</v>
      </c>
      <c r="J237" s="7" t="s">
        <v>52</v>
      </c>
      <c r="K237" s="7" t="s">
        <v>53</v>
      </c>
      <c r="L237" s="10" t="s">
        <v>54</v>
      </c>
      <c r="M237" s="24">
        <f t="shared" si="6"/>
        <v>44.95</v>
      </c>
      <c r="N237" s="12"/>
      <c r="O237" s="7">
        <v>44.95</v>
      </c>
      <c r="P237" s="12"/>
      <c r="Q237" s="12"/>
      <c r="R237" s="25"/>
      <c r="S237" s="7"/>
      <c r="T237" s="7" t="s">
        <v>893</v>
      </c>
      <c r="U237" s="7" t="s">
        <v>140</v>
      </c>
    </row>
    <row r="238" ht="33.75" spans="1:21">
      <c r="A238" s="7">
        <f>MAX($A$5:A237)+1</f>
        <v>163</v>
      </c>
      <c r="B238" s="23" t="s">
        <v>881</v>
      </c>
      <c r="C238" s="7" t="s">
        <v>894</v>
      </c>
      <c r="D238" s="7" t="s">
        <v>28</v>
      </c>
      <c r="E238" s="7" t="s">
        <v>137</v>
      </c>
      <c r="F238" s="7" t="s">
        <v>154</v>
      </c>
      <c r="G238" s="7" t="s">
        <v>154</v>
      </c>
      <c r="H238" s="7" t="s">
        <v>31</v>
      </c>
      <c r="I238" s="7" t="s">
        <v>138</v>
      </c>
      <c r="J238" s="7" t="s">
        <v>52</v>
      </c>
      <c r="K238" s="7" t="s">
        <v>53</v>
      </c>
      <c r="L238" s="10" t="s">
        <v>54</v>
      </c>
      <c r="M238" s="24">
        <f t="shared" si="6"/>
        <v>29.16</v>
      </c>
      <c r="N238" s="12"/>
      <c r="O238" s="7">
        <v>29.16</v>
      </c>
      <c r="P238" s="12"/>
      <c r="Q238" s="12"/>
      <c r="R238" s="12"/>
      <c r="S238" s="7"/>
      <c r="T238" s="7" t="s">
        <v>895</v>
      </c>
      <c r="U238" s="7" t="s">
        <v>140</v>
      </c>
    </row>
    <row r="239" ht="33.75" spans="1:21">
      <c r="A239" s="7">
        <f>MAX($A$5:A238)+1</f>
        <v>164</v>
      </c>
      <c r="B239" s="23" t="s">
        <v>881</v>
      </c>
      <c r="C239" s="7" t="s">
        <v>896</v>
      </c>
      <c r="D239" s="7" t="s">
        <v>28</v>
      </c>
      <c r="E239" s="7" t="s">
        <v>137</v>
      </c>
      <c r="F239" s="7" t="s">
        <v>157</v>
      </c>
      <c r="G239" s="7" t="s">
        <v>157</v>
      </c>
      <c r="H239" s="7" t="s">
        <v>31</v>
      </c>
      <c r="I239" s="7" t="s">
        <v>138</v>
      </c>
      <c r="J239" s="7" t="s">
        <v>52</v>
      </c>
      <c r="K239" s="7" t="s">
        <v>53</v>
      </c>
      <c r="L239" s="10" t="s">
        <v>54</v>
      </c>
      <c r="M239" s="24">
        <f t="shared" si="6"/>
        <v>59.28</v>
      </c>
      <c r="N239" s="12"/>
      <c r="O239" s="7">
        <v>59.28</v>
      </c>
      <c r="P239" s="12"/>
      <c r="Q239" s="12"/>
      <c r="R239" s="12"/>
      <c r="S239" s="7"/>
      <c r="T239" s="7" t="s">
        <v>897</v>
      </c>
      <c r="U239" s="7" t="s">
        <v>140</v>
      </c>
    </row>
    <row r="240" ht="41" customHeight="1" spans="1:21">
      <c r="A240" s="16">
        <f>MAX($A$5:A239)+1</f>
        <v>165</v>
      </c>
      <c r="B240" s="16" t="s">
        <v>881</v>
      </c>
      <c r="C240" s="7" t="s">
        <v>898</v>
      </c>
      <c r="D240" s="7" t="s">
        <v>47</v>
      </c>
      <c r="E240" s="7" t="s">
        <v>126</v>
      </c>
      <c r="F240" s="7" t="s">
        <v>411</v>
      </c>
      <c r="G240" s="7" t="s">
        <v>411</v>
      </c>
      <c r="H240" s="7" t="s">
        <v>31</v>
      </c>
      <c r="I240" s="7" t="s">
        <v>128</v>
      </c>
      <c r="J240" s="7" t="s">
        <v>33</v>
      </c>
      <c r="K240" s="7" t="s">
        <v>34</v>
      </c>
      <c r="L240" s="10" t="s">
        <v>35</v>
      </c>
      <c r="M240" s="24">
        <f t="shared" ref="M240:M249" si="7">N240+O240+P240+Q240</f>
        <v>21.3708</v>
      </c>
      <c r="N240" s="24">
        <v>21.3708</v>
      </c>
      <c r="O240" s="24"/>
      <c r="P240" s="24"/>
      <c r="Q240" s="24"/>
      <c r="R240" s="24"/>
      <c r="S240" s="24" t="s">
        <v>899</v>
      </c>
      <c r="T240" s="24"/>
      <c r="U240" s="7" t="s">
        <v>900</v>
      </c>
    </row>
    <row r="241" ht="41" customHeight="1" spans="1:21">
      <c r="A241" s="17"/>
      <c r="B241" s="17"/>
      <c r="C241" s="7" t="s">
        <v>901</v>
      </c>
      <c r="D241" s="7" t="s">
        <v>47</v>
      </c>
      <c r="E241" s="7" t="s">
        <v>126</v>
      </c>
      <c r="F241" s="7" t="s">
        <v>411</v>
      </c>
      <c r="G241" s="7" t="s">
        <v>411</v>
      </c>
      <c r="H241" s="7" t="s">
        <v>31</v>
      </c>
      <c r="I241" s="7" t="s">
        <v>128</v>
      </c>
      <c r="J241" s="7" t="s">
        <v>33</v>
      </c>
      <c r="K241" s="7" t="s">
        <v>522</v>
      </c>
      <c r="L241" s="10" t="s">
        <v>35</v>
      </c>
      <c r="M241" s="24">
        <f t="shared" si="7"/>
        <v>0.807593</v>
      </c>
      <c r="N241" s="24">
        <v>0.807593</v>
      </c>
      <c r="O241" s="24"/>
      <c r="P241" s="24"/>
      <c r="Q241" s="24"/>
      <c r="R241" s="24"/>
      <c r="S241" s="24" t="s">
        <v>899</v>
      </c>
      <c r="T241" s="24"/>
      <c r="U241" s="7" t="s">
        <v>900</v>
      </c>
    </row>
    <row r="242" ht="41" customHeight="1" spans="1:21">
      <c r="A242" s="17"/>
      <c r="B242" s="17"/>
      <c r="C242" s="7" t="s">
        <v>902</v>
      </c>
      <c r="D242" s="7" t="s">
        <v>47</v>
      </c>
      <c r="E242" s="7" t="s">
        <v>126</v>
      </c>
      <c r="F242" s="7" t="s">
        <v>411</v>
      </c>
      <c r="G242" s="7" t="s">
        <v>411</v>
      </c>
      <c r="H242" s="7" t="s">
        <v>31</v>
      </c>
      <c r="I242" s="7" t="s">
        <v>128</v>
      </c>
      <c r="J242" s="7" t="s">
        <v>52</v>
      </c>
      <c r="K242" s="7" t="s">
        <v>53</v>
      </c>
      <c r="L242" s="10" t="s">
        <v>54</v>
      </c>
      <c r="M242" s="24">
        <f t="shared" si="7"/>
        <v>85.646761</v>
      </c>
      <c r="N242" s="24"/>
      <c r="O242" s="24">
        <v>85.646761</v>
      </c>
      <c r="P242" s="24"/>
      <c r="Q242" s="24"/>
      <c r="R242" s="24"/>
      <c r="S242" s="24" t="s">
        <v>899</v>
      </c>
      <c r="T242" s="24"/>
      <c r="U242" s="7" t="s">
        <v>900</v>
      </c>
    </row>
    <row r="243" ht="41" customHeight="1" spans="1:21">
      <c r="A243" s="17"/>
      <c r="B243" s="17"/>
      <c r="C243" s="7" t="s">
        <v>903</v>
      </c>
      <c r="D243" s="7" t="s">
        <v>47</v>
      </c>
      <c r="E243" s="7" t="s">
        <v>126</v>
      </c>
      <c r="F243" s="7" t="s">
        <v>411</v>
      </c>
      <c r="G243" s="7" t="s">
        <v>411</v>
      </c>
      <c r="H243" s="7" t="s">
        <v>31</v>
      </c>
      <c r="I243" s="7" t="s">
        <v>128</v>
      </c>
      <c r="J243" s="7" t="s">
        <v>52</v>
      </c>
      <c r="K243" s="7" t="s">
        <v>522</v>
      </c>
      <c r="L243" s="10" t="s">
        <v>54</v>
      </c>
      <c r="M243" s="24">
        <f t="shared" si="7"/>
        <v>0.5035</v>
      </c>
      <c r="N243" s="24"/>
      <c r="O243" s="24">
        <v>0.5035</v>
      </c>
      <c r="P243" s="24"/>
      <c r="Q243" s="24"/>
      <c r="R243" s="24"/>
      <c r="S243" s="24" t="s">
        <v>899</v>
      </c>
      <c r="T243" s="24"/>
      <c r="U243" s="7" t="s">
        <v>900</v>
      </c>
    </row>
    <row r="244" ht="41" customHeight="1" spans="1:21">
      <c r="A244" s="17"/>
      <c r="B244" s="17"/>
      <c r="C244" s="7" t="s">
        <v>904</v>
      </c>
      <c r="D244" s="7" t="s">
        <v>47</v>
      </c>
      <c r="E244" s="7" t="s">
        <v>126</v>
      </c>
      <c r="F244" s="7" t="s">
        <v>411</v>
      </c>
      <c r="G244" s="7" t="s">
        <v>411</v>
      </c>
      <c r="H244" s="7" t="s">
        <v>31</v>
      </c>
      <c r="I244" s="7" t="s">
        <v>128</v>
      </c>
      <c r="J244" s="7" t="s">
        <v>144</v>
      </c>
      <c r="K244" s="7" t="s">
        <v>399</v>
      </c>
      <c r="L244" s="10" t="s">
        <v>146</v>
      </c>
      <c r="M244" s="24">
        <f t="shared" si="7"/>
        <v>0.0466</v>
      </c>
      <c r="N244" s="24"/>
      <c r="O244" s="24"/>
      <c r="P244" s="24">
        <v>0.0466</v>
      </c>
      <c r="Q244" s="24"/>
      <c r="R244" s="24"/>
      <c r="S244" s="24" t="s">
        <v>899</v>
      </c>
      <c r="T244" s="24"/>
      <c r="U244" s="7" t="s">
        <v>900</v>
      </c>
    </row>
    <row r="245" ht="41" customHeight="1" spans="1:21">
      <c r="A245" s="17"/>
      <c r="B245" s="17"/>
      <c r="C245" s="7" t="s">
        <v>905</v>
      </c>
      <c r="D245" s="7" t="s">
        <v>47</v>
      </c>
      <c r="E245" s="7" t="s">
        <v>126</v>
      </c>
      <c r="F245" s="7" t="s">
        <v>411</v>
      </c>
      <c r="G245" s="7" t="s">
        <v>411</v>
      </c>
      <c r="H245" s="7" t="s">
        <v>31</v>
      </c>
      <c r="I245" s="7" t="s">
        <v>128</v>
      </c>
      <c r="J245" s="7" t="s">
        <v>144</v>
      </c>
      <c r="K245" s="7" t="s">
        <v>145</v>
      </c>
      <c r="L245" s="10" t="s">
        <v>146</v>
      </c>
      <c r="M245" s="24">
        <f t="shared" si="7"/>
        <v>2.527469</v>
      </c>
      <c r="N245" s="24"/>
      <c r="O245" s="24"/>
      <c r="P245" s="24">
        <v>2.527469</v>
      </c>
      <c r="Q245" s="24"/>
      <c r="R245" s="24"/>
      <c r="S245" s="24" t="s">
        <v>899</v>
      </c>
      <c r="T245" s="24"/>
      <c r="U245" s="7" t="s">
        <v>900</v>
      </c>
    </row>
    <row r="246" ht="41" customHeight="1" spans="1:21">
      <c r="A246" s="17"/>
      <c r="B246" s="17"/>
      <c r="C246" s="7" t="s">
        <v>906</v>
      </c>
      <c r="D246" s="7" t="s">
        <v>47</v>
      </c>
      <c r="E246" s="7" t="s">
        <v>126</v>
      </c>
      <c r="F246" s="7" t="s">
        <v>411</v>
      </c>
      <c r="G246" s="7" t="s">
        <v>411</v>
      </c>
      <c r="H246" s="7" t="s">
        <v>31</v>
      </c>
      <c r="I246" s="7" t="s">
        <v>128</v>
      </c>
      <c r="J246" s="7" t="s">
        <v>144</v>
      </c>
      <c r="K246" s="7" t="s">
        <v>598</v>
      </c>
      <c r="L246" s="10" t="s">
        <v>146</v>
      </c>
      <c r="M246" s="24">
        <f t="shared" si="7"/>
        <v>21.225246</v>
      </c>
      <c r="N246" s="24"/>
      <c r="O246" s="24"/>
      <c r="P246" s="24">
        <v>21.225246</v>
      </c>
      <c r="Q246" s="24"/>
      <c r="R246" s="24"/>
      <c r="S246" s="24" t="s">
        <v>899</v>
      </c>
      <c r="T246" s="24"/>
      <c r="U246" s="7" t="s">
        <v>900</v>
      </c>
    </row>
    <row r="247" ht="41" customHeight="1" spans="1:21">
      <c r="A247" s="19"/>
      <c r="B247" s="19"/>
      <c r="C247" s="7" t="s">
        <v>907</v>
      </c>
      <c r="D247" s="7" t="s">
        <v>47</v>
      </c>
      <c r="E247" s="7" t="s">
        <v>126</v>
      </c>
      <c r="F247" s="7" t="s">
        <v>411</v>
      </c>
      <c r="G247" s="7" t="s">
        <v>411</v>
      </c>
      <c r="H247" s="7" t="s">
        <v>31</v>
      </c>
      <c r="I247" s="7" t="s">
        <v>128</v>
      </c>
      <c r="J247" s="7" t="s">
        <v>71</v>
      </c>
      <c r="K247" s="7" t="s">
        <v>72</v>
      </c>
      <c r="L247" s="10" t="s">
        <v>73</v>
      </c>
      <c r="M247" s="24">
        <f t="shared" si="7"/>
        <v>487.553944</v>
      </c>
      <c r="N247" s="24"/>
      <c r="O247" s="24"/>
      <c r="P247" s="24"/>
      <c r="Q247" s="24">
        <v>487.553944</v>
      </c>
      <c r="R247" s="24"/>
      <c r="S247" s="24" t="s">
        <v>899</v>
      </c>
      <c r="T247" s="24"/>
      <c r="U247" s="7" t="s">
        <v>900</v>
      </c>
    </row>
    <row r="248" ht="22" customHeight="1" spans="1:21">
      <c r="A248" s="7">
        <f>MAX($A$5:A247)+1</f>
        <v>166</v>
      </c>
      <c r="B248" s="7" t="s">
        <v>881</v>
      </c>
      <c r="C248" s="7" t="s">
        <v>908</v>
      </c>
      <c r="D248" s="7" t="s">
        <v>28</v>
      </c>
      <c r="E248" s="7" t="s">
        <v>137</v>
      </c>
      <c r="F248" s="7" t="s">
        <v>160</v>
      </c>
      <c r="G248" s="7" t="s">
        <v>160</v>
      </c>
      <c r="H248" s="7" t="s">
        <v>31</v>
      </c>
      <c r="I248" s="7" t="s">
        <v>138</v>
      </c>
      <c r="J248" s="7" t="s">
        <v>71</v>
      </c>
      <c r="K248" s="7" t="s">
        <v>72</v>
      </c>
      <c r="L248" s="10" t="s">
        <v>73</v>
      </c>
      <c r="M248" s="24">
        <f t="shared" si="7"/>
        <v>214.2</v>
      </c>
      <c r="N248" s="12"/>
      <c r="O248" s="12"/>
      <c r="P248" s="12"/>
      <c r="Q248" s="12">
        <v>214.2</v>
      </c>
      <c r="R248" s="12"/>
      <c r="S248" s="7"/>
      <c r="T248" s="7" t="s">
        <v>909</v>
      </c>
      <c r="U248" s="7" t="s">
        <v>140</v>
      </c>
    </row>
    <row r="249" ht="22" customHeight="1" spans="1:21">
      <c r="A249" s="7">
        <f>MAX($A$5:A248)+1</f>
        <v>167</v>
      </c>
      <c r="B249" s="7" t="s">
        <v>881</v>
      </c>
      <c r="C249" s="7" t="s">
        <v>910</v>
      </c>
      <c r="D249" s="7" t="s">
        <v>28</v>
      </c>
      <c r="E249" s="7" t="s">
        <v>137</v>
      </c>
      <c r="F249" s="7" t="s">
        <v>30</v>
      </c>
      <c r="G249" s="7" t="s">
        <v>30</v>
      </c>
      <c r="H249" s="7" t="s">
        <v>31</v>
      </c>
      <c r="I249" s="7" t="s">
        <v>138</v>
      </c>
      <c r="J249" s="7" t="s">
        <v>71</v>
      </c>
      <c r="K249" s="7" t="s">
        <v>72</v>
      </c>
      <c r="L249" s="10" t="s">
        <v>73</v>
      </c>
      <c r="M249" s="24">
        <f t="shared" si="7"/>
        <v>110.76</v>
      </c>
      <c r="N249" s="12"/>
      <c r="O249" s="12"/>
      <c r="P249" s="12"/>
      <c r="Q249" s="12">
        <v>110.76</v>
      </c>
      <c r="R249" s="12"/>
      <c r="S249" s="7"/>
      <c r="T249" s="7" t="s">
        <v>911</v>
      </c>
      <c r="U249" s="7" t="s">
        <v>140</v>
      </c>
    </row>
  </sheetData>
  <autoFilter xmlns:etc="http://www.wps.cn/officeDocument/2017/etCustomData" ref="A4:XEJ249" etc:filterBottomFollowUsedRange="0">
    <extLst/>
  </autoFilter>
  <mergeCells count="41">
    <mergeCell ref="A1:B1"/>
    <mergeCell ref="A2:U2"/>
    <mergeCell ref="N3:Q3"/>
    <mergeCell ref="S3:T3"/>
    <mergeCell ref="A5:I5"/>
    <mergeCell ref="A3:A4"/>
    <mergeCell ref="A29:A55"/>
    <mergeCell ref="A135:A141"/>
    <mergeCell ref="A147:A148"/>
    <mergeCell ref="A172:A174"/>
    <mergeCell ref="A177:A178"/>
    <mergeCell ref="A179:A184"/>
    <mergeCell ref="A188:A190"/>
    <mergeCell ref="A203:A224"/>
    <mergeCell ref="A225:A231"/>
    <mergeCell ref="A240:A247"/>
    <mergeCell ref="B3:B4"/>
    <mergeCell ref="B29:B55"/>
    <mergeCell ref="B135:B141"/>
    <mergeCell ref="B147:B148"/>
    <mergeCell ref="B172:B174"/>
    <mergeCell ref="B177:B178"/>
    <mergeCell ref="B179:B184"/>
    <mergeCell ref="B188:B190"/>
    <mergeCell ref="B203:B224"/>
    <mergeCell ref="B225:B231"/>
    <mergeCell ref="B240:B247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T29:T55"/>
    <mergeCell ref="U3:U4"/>
    <mergeCell ref="U29:U55"/>
  </mergeCells>
  <conditionalFormatting sqref="R3:R4 S4:T5 S3">
    <cfRule type="expression" dxfId="0" priority="1" stopIfTrue="1">
      <formula>NOT(ISERROR(SEARCH("+",R3)))</formula>
    </cfRule>
    <cfRule type="expression" dxfId="1" priority="2" stopIfTrue="1">
      <formula>NOT(ISERROR(SEARCH("+",R3)))</formula>
    </cfRule>
  </conditionalFormatting>
  <dataValidations count="3">
    <dataValidation type="list" allowBlank="1" showInputMessage="1" showErrorMessage="1" sqref="E203 E6:E201 E235:E236 E240:E247">
      <formula1>INDIRECT(D6)</formula1>
    </dataValidation>
    <dataValidation type="list" allowBlank="1" showInputMessage="1" showErrorMessage="1" sqref="D6:D249 J6:J249">
      <formula1>#REF!</formula1>
    </dataValidation>
    <dataValidation type="list" allowBlank="1" showInputMessage="1" showErrorMessage="1" sqref="L6:L249">
      <formula1>INDIRECT($J6)</formula1>
    </dataValidation>
  </dataValidations>
  <printOptions horizontalCentered="1"/>
  <pageMargins left="0.751388888888889" right="0.751388888888889" top="1" bottom="1" header="0.5" footer="0.5"/>
  <pageSetup paperSize="9" scale="46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00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鲁山县2024年衔接资金项目台账明细表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「奇迹」</cp:lastModifiedBy>
  <dcterms:created xsi:type="dcterms:W3CDTF">2023-10-13T17:53:00Z</dcterms:created>
  <dcterms:modified xsi:type="dcterms:W3CDTF">2024-12-24T08:10:01Z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2FB6E084BE1E47148F47F816D6CE6AA5_13</vt:lpwstr>
  </property>
  <property fmtid="{D5CDD505-2E9C-101B-9397-08002B2CF9AE}" pid="4" name="KSOReadingLayout">
    <vt:bool>true</vt:bool>
  </property>
  <property fmtid="{D5CDD505-2E9C-101B-9397-08002B2CF9AE}" pid="5" name="commondata">
    <vt:lpwstr>eyJoZGlkIjoiZGUyN2RlZGZkMGNjNTFiYzc2ODE0MjJmOWFiMzNlM2YifQ==</vt:lpwstr>
  </property>
</Properties>
</file>